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05" firstSheet="12" activeTab="15"/>
  </bookViews>
  <sheets>
    <sheet name="נספח 1" sheetId="1" r:id="rId1"/>
    <sheet name="נספח 2" sheetId="2" r:id="rId2"/>
    <sheet name="נספח 3" sheetId="3" r:id="rId3"/>
    <sheet name=" גמל לבני 50 ומטה" sheetId="4" r:id="rId4"/>
    <sheet name="גמל לבני 50 עד 60" sheetId="11" r:id="rId5"/>
    <sheet name="גמל לבני 60 ומעלה" sheetId="8" r:id="rId6"/>
    <sheet name="גמל שקלי טווח קצר" sheetId="15" r:id="rId7"/>
    <sheet name="גמל אג&quot;ח ללא מניות" sheetId="9" r:id="rId8"/>
    <sheet name="גמל אג&quot;ח צמוד מדד " sheetId="10" r:id="rId9"/>
    <sheet name="גמל פאסיבי- מדדי אג&quot;ח" sheetId="13" r:id="rId10"/>
    <sheet name=" גמל אג&quot;ח עד 15% מניות" sheetId="5" r:id="rId11"/>
    <sheet name=" גמל אג&quot;ח עד 20% מניות" sheetId="7" r:id="rId12"/>
    <sheet name=" גמל אג&quot;ח עד 25% מניות" sheetId="6" r:id="rId13"/>
    <sheet name="גמל פאסיבי- מדדי אג&quot;ח עד 25% " sheetId="19" r:id="rId14"/>
    <sheet name="גמל פאסיבי מדדי חול" sheetId="14" r:id="rId15"/>
    <sheet name="גמל פאסיבי- מדדי מניות" sheetId="12" r:id="rId16"/>
  </sheets>
  <calcPr calcId="145621"/>
</workbook>
</file>

<file path=xl/calcChain.xml><?xml version="1.0" encoding="utf-8"?>
<calcChain xmlns="http://schemas.openxmlformats.org/spreadsheetml/2006/main">
  <c r="C35" i="12" l="1"/>
  <c r="C35" i="14"/>
  <c r="C35" i="19"/>
  <c r="C35" i="6"/>
  <c r="C35" i="7"/>
  <c r="C35" i="5"/>
  <c r="C35" i="13"/>
  <c r="C35" i="10"/>
  <c r="C35" i="9"/>
  <c r="C35" i="15"/>
  <c r="C35" i="8"/>
  <c r="C34" i="11"/>
  <c r="C35" i="4" l="1"/>
  <c r="C35" i="1"/>
  <c r="C37" i="15" l="1"/>
  <c r="C36" i="11"/>
  <c r="C36" i="4"/>
  <c r="C32" i="12" l="1"/>
  <c r="C38" i="12" s="1"/>
  <c r="C32" i="14"/>
  <c r="C38" i="14" s="1"/>
  <c r="C32" i="19"/>
  <c r="C37" i="19" s="1"/>
  <c r="C32" i="6"/>
  <c r="C32" i="7"/>
  <c r="C32" i="5"/>
  <c r="C36" i="5" s="1"/>
  <c r="C32" i="13"/>
  <c r="C38" i="13" s="1"/>
  <c r="C32" i="10"/>
  <c r="C38" i="10" s="1"/>
  <c r="C32" i="9"/>
  <c r="C38" i="9" s="1"/>
  <c r="C32" i="15"/>
  <c r="C32" i="8"/>
  <c r="C36" i="8" s="1"/>
  <c r="C32" i="11"/>
  <c r="C32" i="4"/>
  <c r="B15" i="3"/>
  <c r="C38" i="6" l="1"/>
  <c r="C38" i="7"/>
  <c r="C7" i="1"/>
  <c r="C6" i="1"/>
  <c r="C38" i="1" l="1"/>
  <c r="B49" i="3" l="1"/>
  <c r="B37" i="3"/>
  <c r="B50" i="3" l="1"/>
  <c r="C30" i="1"/>
  <c r="C29" i="1"/>
  <c r="C26" i="1"/>
  <c r="C25" i="1"/>
  <c r="C24" i="1"/>
  <c r="C23" i="1"/>
  <c r="C22" i="1"/>
  <c r="C21" i="1"/>
  <c r="C20" i="1"/>
  <c r="C16" i="1"/>
  <c r="C30" i="2" s="1"/>
  <c r="C31" i="2" s="1"/>
  <c r="C15" i="1"/>
  <c r="C14" i="1"/>
  <c r="C27" i="2" s="1"/>
  <c r="C10" i="1"/>
  <c r="C17" i="2" l="1"/>
  <c r="C11" i="1" l="1"/>
  <c r="C22" i="2" s="1"/>
  <c r="C24" i="2" s="1"/>
  <c r="C40" i="2" s="1"/>
  <c r="C32" i="1" l="1"/>
  <c r="C19" i="1" l="1"/>
  <c r="C41" i="2" l="1"/>
  <c r="B51" i="3"/>
  <c r="C36" i="1"/>
</calcChain>
</file>

<file path=xl/comments1.xml><?xml version="1.0" encoding="utf-8"?>
<comments xmlns="http://schemas.openxmlformats.org/spreadsheetml/2006/main">
  <authors>
    <author>מחבר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<sst xmlns="http://schemas.openxmlformats.org/spreadsheetml/2006/main" count="799" uniqueCount="145">
  <si>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</si>
  <si>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</si>
  <si>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</si>
  <si>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</si>
  <si>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</si>
  <si>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</si>
  <si>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</si>
  <si>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</si>
  <si>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</si>
  <si>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</si>
  <si>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</si>
  <si>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</si>
  <si>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</si>
  <si>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</si>
  <si>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</si>
  <si>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</si>
  <si>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</si>
  <si>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</si>
  <si>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</si>
  <si>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</si>
  <si>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</si>
  <si>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</si>
  <si>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</si>
  <si>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</si>
  <si>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</si>
  <si>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</si>
  <si>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</si>
  <si>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</si>
  <si>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</si>
  <si>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</si>
  <si>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</si>
  <si>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</si>
  <si>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</si>
  <si>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</si>
  <si>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</si>
  <si>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</si>
  <si>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</si>
  <si>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</si>
  <si>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</si>
  <si>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</si>
  <si>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</si>
  <si>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</si>
  <si>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</si>
  <si>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</si>
  <si>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</si>
  <si>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</si>
  <si>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</si>
  <si>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</si>
  <si>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</si>
  <si>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</si>
  <si>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</si>
  <si>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</si>
  <si>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</si>
  <si>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</si>
  <si>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</si>
  <si>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</si>
  <si>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</si>
  <si>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t>אקסלנס גמל</t>
  </si>
  <si>
    <t>513026484-00000000000102-0685-000</t>
  </si>
  <si>
    <r>
      <t>(1)</t>
    </r>
    <r>
      <rPr>
        <sz val="7"/>
        <color theme="1"/>
        <rFont val="David"/>
        <family val="2"/>
        <charset val="177"/>
      </rPr>
      <t>   </t>
    </r>
    <r>
      <rPr>
        <sz val="10"/>
        <color theme="1"/>
        <rFont val="David"/>
        <family val="2"/>
        <charset val="177"/>
      </rPr>
      <t> גן גלרם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</si>
  <si>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</si>
  <si>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</si>
  <si>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</si>
  <si>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תשלום הנובע מהשקעה בקרנות השקעה בחול</t>
  </si>
  <si>
    <t>תשלום הנובע מהשקעה בקרנות השקעה בארץ</t>
  </si>
  <si>
    <t>לידר</t>
  </si>
  <si>
    <t>סך תשלומים בגין השקעה בתעודות סל</t>
  </si>
  <si>
    <t>קרן א</t>
  </si>
  <si>
    <t>קרן ב</t>
  </si>
  <si>
    <t>קרן ג</t>
  </si>
  <si>
    <t>קרן ד</t>
  </si>
  <si>
    <t>קרן ה</t>
  </si>
  <si>
    <t>קרן ו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</si>
  <si>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</si>
  <si>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אחרים</t>
  </si>
  <si>
    <t>Invesco Ltd</t>
  </si>
  <si>
    <t>מיטב</t>
  </si>
  <si>
    <t>נספח 1- סך התשלומים ששולמו בעד כל סוג של הוצאה ישירה למחצית השנה או לתקופה המסתיימת ביום 31.12.2016</t>
  </si>
  <si>
    <t>אקסלנס גמל לבני 50 עד 60</t>
  </si>
  <si>
    <t>אקסלנס גמל אג"ח צמוד מדד</t>
  </si>
  <si>
    <t xml:space="preserve">אקסלנס גמל אג"ח ללא מניות  </t>
  </si>
  <si>
    <t>נספח 1- סך התשלומים ששולמו בעד כל סוג של הוצאה ישירה למחצית השנה או לתקופה המסתיימת ביום 30.06.2016</t>
  </si>
  <si>
    <t>נספח 3 - פירוט עמלות ניהול חיצוני למחצית השנה או לשנה המסתיימת ביום: 31.12.2016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</si>
  <si>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נשואה</t>
    </r>
  </si>
  <si>
    <t>מזרחי</t>
  </si>
  <si>
    <t>Pictet &amp; Cie Group SCA</t>
  </si>
  <si>
    <t>Sparx Group Co Ltd</t>
  </si>
  <si>
    <t>מגדל ביטוח</t>
  </si>
  <si>
    <t>פועלים אי.בי.אי</t>
  </si>
  <si>
    <t>הראל סל</t>
  </si>
  <si>
    <t>תכלית סל</t>
  </si>
  <si>
    <t>Comgest SA</t>
  </si>
  <si>
    <t>CVC</t>
  </si>
  <si>
    <t>Nordea Bank AB</t>
  </si>
  <si>
    <t>Prestige Asset Management</t>
  </si>
  <si>
    <t>Reyl &amp; Cie SA</t>
  </si>
  <si>
    <t>UniCredit SpA</t>
  </si>
  <si>
    <t>BlackRock Inc</t>
  </si>
  <si>
    <t>State Street Corp</t>
  </si>
  <si>
    <t>פסגות אופק</t>
  </si>
  <si>
    <t>קוד קליטה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</si>
  <si>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</si>
  <si>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</si>
  <si>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</si>
  <si>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</si>
  <si>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</si>
  <si>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</si>
  <si>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</si>
  <si>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</si>
  <si>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</si>
  <si>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</si>
  <si>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</si>
  <si>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</si>
  <si>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</si>
  <si>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</si>
  <si>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</si>
  <si>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</si>
  <si>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</si>
  <si>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</si>
  <si>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</si>
  <si>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</si>
  <si>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</si>
  <si>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>אקסלנס גמל אג"ח עד 15% מניות</t>
  </si>
  <si>
    <t>מ.ה 211</t>
  </si>
  <si>
    <t>אקסלנס גמל אג"ח עד 25% מניות</t>
  </si>
  <si>
    <t>מ.ה 401</t>
  </si>
  <si>
    <t>מ.ה 385</t>
  </si>
  <si>
    <t>אקסלנס גמל אג"ח עד 20% מניות</t>
  </si>
  <si>
    <t>מ.ה 2089</t>
  </si>
  <si>
    <t>מ.ה 792</t>
  </si>
  <si>
    <t>אקסלנס גמל פאסיבי - מדדי אג"ח עד 25% במדדי מניות</t>
  </si>
  <si>
    <t>מ.ה 8624</t>
  </si>
  <si>
    <t>מ.ה 8626</t>
  </si>
  <si>
    <t>אקסלנס גמל פאסיבי - מדדי מניות</t>
  </si>
  <si>
    <t>אקסלנס גמל פאסיבי - מדדי אג"ח</t>
  </si>
  <si>
    <t>מ.ה 8627</t>
  </si>
  <si>
    <t>אקסלנס גמל שקלי טווח קצר</t>
  </si>
  <si>
    <t>מ.ה 9906</t>
  </si>
  <si>
    <t>אקסלנס גמל פאסיבי -  מדדי חו"ל</t>
  </si>
  <si>
    <t>מ.ה 9905</t>
  </si>
  <si>
    <t>אקסלנס גמל לבני 50 ומטה</t>
  </si>
  <si>
    <t>מ.ה 9916</t>
  </si>
  <si>
    <t>מ.ה 9917</t>
  </si>
  <si>
    <t>אקסלנס גמל לבני 60 ומעלה</t>
  </si>
  <si>
    <t>מ.ה 9918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</si>
</sst>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?&quot;#,##0.00;[Red]&quot;?&quot;\-#,##0.00"/>
    <numFmt numFmtId="166" formatCode="#,##0_ ;\-#,##0\ 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0"/>
      <color rgb="FF000080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1"/>
      <color rgb="FFFF0000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sz val="10"/>
      <color rgb="FFFFFFFF"/>
      <name val="David"/>
      <family val="2"/>
      <charset val="177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0000"/>
        <bgColor rgb="FF666666"/>
      </patternFill>
    </fill>
  </fills>
  <borders count="9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165" fontId="15" fillId="0" borderId="0" applyFont="0" applyFill="0" applyProtection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right" vertical="center" wrapText="1" readingOrder="2"/>
    </xf>
    <xf numFmtId="0" fontId="6" fillId="0" borderId="0" xfId="0" applyFont="1"/>
    <xf numFmtId="0" fontId="8" fillId="2" borderId="3" xfId="0" applyFont="1" applyFill="1" applyBorder="1" applyAlignment="1">
      <alignment horizontal="justify" vertical="center" wrapText="1" readingOrder="2"/>
    </xf>
    <xf numFmtId="0" fontId="8" fillId="3" borderId="3" xfId="0" applyFont="1" applyFill="1" applyBorder="1" applyAlignment="1">
      <alignment horizontal="justify" vertical="center" wrapText="1" readingOrder="2"/>
    </xf>
    <xf numFmtId="0" fontId="8" fillId="3" borderId="3" xfId="0" applyFont="1" applyFill="1" applyBorder="1" applyAlignment="1">
      <alignment horizontal="justify" vertical="center" wrapText="1" readingOrder="2"/>
    </xf>
    <xf numFmtId="0" fontId="6" fillId="0" borderId="0" xfId="0" applyFont="1" applyAlignment="1">
      <alignment horizontal="right" readingOrder="2"/>
    </xf>
    <xf numFmtId="0" fontId="11" fillId="2" borderId="4" xfId="0" applyFont="1" applyFill="1" applyBorder="1" applyAlignment="1">
      <alignment horizontal="right" vertical="center" wrapText="1" readingOrder="2"/>
    </xf>
    <xf numFmtId="0" fontId="11" fillId="2" borderId="6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 readingOrder="2"/>
    </xf>
    <xf numFmtId="0" fontId="9" fillId="2" borderId="4" xfId="0" applyFont="1" applyFill="1" applyBorder="1" applyAlignment="1">
      <alignment horizontal="right" vertical="center" wrapText="1" readingOrder="2"/>
    </xf>
    <xf numFmtId="0" fontId="6" fillId="0" borderId="0" xfId="0" applyFont="1" applyAlignment="1">
      <alignment horizontal="right"/>
    </xf>
    <xf numFmtId="0" fontId="15" fillId="0" borderId="0" xfId="2" applyFont="1" applyFill="1" applyAlignment="1">
      <alignment horizontal="right"/>
    </xf>
    <xf numFmtId="0" fontId="16" fillId="0" borderId="0" xfId="2" applyFont="1" applyFill="1"/>
    <xf numFmtId="164" fontId="8" fillId="3" borderId="3" xfId="1" applyNumberFormat="1" applyFont="1" applyFill="1" applyBorder="1" applyAlignment="1">
      <alignment horizontal="justify" vertical="center" wrapText="1" readingOrder="2"/>
    </xf>
    <xf numFmtId="1" fontId="8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6" fillId="0" borderId="0" xfId="1" applyNumberFormat="1" applyFont="1"/>
    <xf numFmtId="164" fontId="3" fillId="2" borderId="1" xfId="1" applyNumberFormat="1" applyFont="1" applyFill="1" applyBorder="1" applyAlignment="1">
      <alignment horizontal="justify" vertical="center" wrapText="1" readingOrder="2"/>
    </xf>
    <xf numFmtId="164" fontId="8" fillId="2" borderId="3" xfId="1" applyNumberFormat="1" applyFont="1" applyFill="1" applyBorder="1" applyAlignment="1">
      <alignment horizontal="justify" vertical="center" wrapText="1" readingOrder="2"/>
    </xf>
    <xf numFmtId="10" fontId="8" fillId="3" borderId="7" xfId="3" applyNumberFormat="1" applyFont="1" applyFill="1" applyBorder="1" applyAlignment="1">
      <alignment horizontal="justify" vertical="center" wrapText="1" readingOrder="2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43" fontId="0" fillId="0" borderId="0" xfId="0" applyNumberFormat="1"/>
    <xf numFmtId="0" fontId="0" fillId="0" borderId="0" xfId="0" applyNumberFormat="1"/>
    <xf numFmtId="10" fontId="8" fillId="3" borderId="7" xfId="3" applyNumberFormat="1" applyFont="1" applyFill="1" applyBorder="1" applyAlignment="1">
      <alignment horizontal="justify" vertical="center" wrapText="1" readingOrder="2"/>
    </xf>
    <xf numFmtId="164" fontId="8" fillId="3" borderId="3" xfId="0" applyNumberFormat="1" applyFont="1" applyFill="1" applyBorder="1" applyAlignment="1">
      <alignment horizontal="justify" vertical="center" wrapText="1" readingOrder="2"/>
    </xf>
    <xf numFmtId="164" fontId="8" fillId="2" borderId="3" xfId="0" applyNumberFormat="1" applyFont="1" applyFill="1" applyBorder="1" applyAlignment="1">
      <alignment horizontal="justify" vertical="center" wrapText="1" readingOrder="2"/>
    </xf>
    <xf numFmtId="10" fontId="8" fillId="0" borderId="7" xfId="3" applyNumberFormat="1" applyFont="1" applyFill="1" applyBorder="1" applyAlignment="1">
      <alignment horizontal="justify" vertical="center" wrapText="1" readingOrder="2"/>
    </xf>
    <xf numFmtId="164" fontId="8" fillId="0" borderId="3" xfId="1" applyNumberFormat="1" applyFont="1" applyFill="1" applyBorder="1" applyAlignment="1">
      <alignment horizontal="justify" vertical="center" wrapText="1" readingOrder="2"/>
    </xf>
    <xf numFmtId="10" fontId="8" fillId="0" borderId="7" xfId="3" applyNumberFormat="1" applyFont="1" applyFill="1" applyBorder="1" applyAlignment="1">
      <alignment horizontal="justify" vertical="center" wrapText="1" readingOrder="2"/>
    </xf>
    <xf numFmtId="10" fontId="8" fillId="3" borderId="3" xfId="3" applyNumberFormat="1" applyFont="1" applyFill="1" applyBorder="1" applyAlignment="1">
      <alignment horizontal="justify" vertical="center" wrapText="1" readingOrder="2"/>
    </xf>
    <xf numFmtId="0" fontId="4" fillId="2" borderId="8" xfId="0" applyFont="1" applyFill="1" applyBorder="1" applyAlignment="1">
      <alignment horizontal="right" vertical="center" wrapText="1" readingOrder="2"/>
    </xf>
    <xf numFmtId="0" fontId="8" fillId="2" borderId="5" xfId="0" applyFont="1" applyFill="1" applyBorder="1" applyAlignment="1">
      <alignment horizontal="justify" vertical="center" wrapText="1" readingOrder="2"/>
    </xf>
    <xf numFmtId="0" fontId="17" fillId="0" borderId="0" xfId="0" applyFont="1"/>
    <xf numFmtId="0" fontId="19" fillId="0" borderId="0" xfId="0" applyFont="1"/>
    <xf numFmtId="43" fontId="19" fillId="0" borderId="0" xfId="0" applyNumberFormat="1" applyFont="1"/>
    <xf numFmtId="164" fontId="19" fillId="0" borderId="0" xfId="0" applyNumberFormat="1" applyFont="1"/>
    <xf numFmtId="0" fontId="20" fillId="4" borderId="1" xfId="0" applyFont="1" applyFill="1" applyBorder="1" applyAlignment="1">
      <alignment horizontal="justify" vertical="center" wrapText="1" readingOrder="2"/>
    </xf>
    <xf numFmtId="0" fontId="21" fillId="0" borderId="3" xfId="0" applyFont="1" applyBorder="1" applyAlignment="1">
      <alignment horizontal="justify" vertical="center" wrapText="1" readingOrder="2"/>
    </xf>
    <xf numFmtId="0" fontId="21" fillId="0" borderId="3" xfId="0" applyFont="1" applyBorder="1" applyAlignment="1">
      <alignment horizontal="left" vertical="center" wrapText="1" readingOrder="2"/>
    </xf>
    <xf numFmtId="0" fontId="4" fillId="0" borderId="3" xfId="0" applyFont="1" applyBorder="1" applyAlignment="1">
      <alignment horizontal="left" vertical="center" wrapText="1" readingOrder="2"/>
    </xf>
    <xf numFmtId="166" fontId="8" fillId="0" borderId="3" xfId="1" applyNumberFormat="1" applyFont="1" applyFill="1" applyBorder="1" applyAlignment="1">
      <alignment horizontal="justify" vertical="center" wrapText="1" readingOrder="1"/>
    </xf>
    <xf numFmtId="0" fontId="8" fillId="0" borderId="3" xfId="0" applyFont="1" applyFill="1" applyBorder="1" applyAlignment="1">
      <alignment horizontal="justify" vertical="center" wrapText="1" readingOrder="2"/>
    </xf>
    <xf numFmtId="0" fontId="0" fillId="0" borderId="0" xfId="0" applyFill="1"/>
    <xf numFmtId="164" fontId="8" fillId="0" borderId="3" xfId="0" applyNumberFormat="1" applyFont="1" applyFill="1" applyBorder="1" applyAlignment="1">
      <alignment horizontal="justify" vertical="center" wrapText="1" readingOrder="2"/>
    </xf>
    <xf numFmtId="166" fontId="8" fillId="0" borderId="3" xfId="0" applyNumberFormat="1" applyFont="1" applyFill="1" applyBorder="1" applyAlignment="1">
      <alignment horizontal="justify" vertical="center" wrapText="1" readingOrder="1"/>
    </xf>
    <xf numFmtId="0" fontId="21" fillId="0" borderId="3" xfId="0" applyFont="1" applyBorder="1" applyAlignment="1">
      <alignment horizontal="left" vertical="center" wrapText="1" readingOrder="2"/>
    </xf>
    <xf numFmtId="0" fontId="21" fillId="0" borderId="7" xfId="0" applyFont="1" applyBorder="1" applyAlignment="1">
      <alignment vertical="center" wrapText="1" readingOrder="2"/>
    </xf>
    <xf numFmtId="0" fontId="21" fillId="0" borderId="3" xfId="0" applyFont="1" applyBorder="1" applyAlignment="1">
      <alignment vertical="center" wrapText="1" readingOrder="2"/>
    </xf>
    <xf numFmtId="164" fontId="8" fillId="2" borderId="7" xfId="1" applyNumberFormat="1" applyFont="1" applyFill="1" applyBorder="1" applyAlignment="1">
      <alignment vertical="center" wrapText="1" readingOrder="2"/>
    </xf>
    <xf numFmtId="164" fontId="8" fillId="2" borderId="3" xfId="1" applyNumberFormat="1" applyFont="1" applyFill="1" applyBorder="1" applyAlignment="1">
      <alignment vertical="center" wrapText="1" readingOrder="2"/>
    </xf>
    <xf numFmtId="10" fontId="8" fillId="3" borderId="3" xfId="3" applyNumberFormat="1" applyFont="1" applyFill="1" applyBorder="1" applyAlignment="1">
      <alignment vertical="center" wrapText="1" readingOrder="2"/>
    </xf>
    <xf numFmtId="10" fontId="8" fillId="3" borderId="7" xfId="3" applyNumberFormat="1" applyFont="1" applyFill="1" applyBorder="1" applyAlignment="1">
      <alignment horizontal="right" vertical="center" wrapText="1" readingOrder="2"/>
    </xf>
    <xf numFmtId="10" fontId="8" fillId="3" borderId="3" xfId="3" applyNumberFormat="1" applyFont="1" applyFill="1" applyBorder="1" applyAlignment="1">
      <alignment horizontal="right" vertical="center" wrapText="1" readingOrder="2"/>
    </xf>
    <xf numFmtId="10" fontId="8" fillId="3" borderId="5" xfId="3" applyNumberFormat="1" applyFont="1" applyFill="1" applyBorder="1" applyAlignment="1">
      <alignment vertical="center" wrapText="1" readingOrder="2"/>
    </xf>
    <xf numFmtId="10" fontId="8" fillId="3" borderId="5" xfId="3" applyNumberFormat="1" applyFont="1" applyFill="1" applyBorder="1" applyAlignment="1">
      <alignment horizontal="right" vertical="center" wrapText="1" readingOrder="2"/>
    </xf>
    <xf numFmtId="0" fontId="21" fillId="0" borderId="5" xfId="0" applyFont="1" applyBorder="1" applyAlignment="1">
      <alignment vertical="center" wrapText="1" readingOrder="2"/>
    </xf>
  </cellXfs>
  <cellStyles count="14">
    <cellStyle name="Comma" xfId="1" builtinId="3"/>
    <cellStyle name="Comma 2" xfId="10"/>
    <cellStyle name="Comma 3" xfId="4"/>
    <cellStyle name="Comma 4" xfId="7"/>
    <cellStyle name="Comma 5" xfId="12"/>
    <cellStyle name="Normal" xfId="0" builtinId="0"/>
    <cellStyle name="Normal 2" xfId="2"/>
    <cellStyle name="Normal 2 2" xfId="8"/>
    <cellStyle name="Normal 3" xfId="9"/>
    <cellStyle name="Normal 4" xfId="5"/>
    <cellStyle name="Normal 5" xfId="6"/>
    <cellStyle name="Normal 6" xfId="11"/>
    <cellStyle name="Percent" xfId="3" builtinId="5"/>
    <cellStyle name="Percent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rightToLeft="1" topLeftCell="A23" zoomScaleNormal="100" workbookViewId="0">
      <selection activeCell="C36" sqref="C36"/>
    </sheetView>
  </sheetViews>
  <sheetFormatPr defaultColWidth="37" defaultRowHeight="15" x14ac:dyDescent="0.25"/>
  <cols>
    <col min="1" max="1" width="13.375" customWidth="1"/>
    <col min="2" max="2" width="37" style="18"/>
    <col min="3" max="3" width="37" style="9"/>
  </cols>
  <sheetData>
    <row r="1" spans="2:5" ht="16.5" x14ac:dyDescent="0.25">
      <c r="B1" s="20" t="s">
        <v>57</v>
      </c>
    </row>
    <row r="2" spans="2:5" x14ac:dyDescent="0.25">
      <c r="B2" s="19" t="s">
        <v>58</v>
      </c>
    </row>
    <row r="3" spans="2:5" ht="15.75" thickBot="1" x14ac:dyDescent="0.3">
      <c r="B3" s="1" t="s">
        <v>77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36">
        <f>' גמל לבני 50 ומטה'!C6+'גמל לבני 50 עד 60'!C6+'גמל לבני 60 ומעלה'!C6+'גמל שקלי טווח קצר'!C6+'גמל אג"ח ללא מניות'!C6+'גמל אג"ח צמוד מדד '!C6+'גמל פאסיבי- מדדי אג"ח'!C6+' גמל אג"ח עד 15% מניות'!C6+' גמל אג"ח עד 20% מניות'!C6+' גמל אג"ח עד 25% מניות'!C6+'גמל פאסיבי- מדדי אג"ח עד 25% '!C6+'גמל פאסיבי מדדי חול'!C6+'גמל פאסיבי- מדדי מניות'!C6</f>
        <v>701.84505569787984</v>
      </c>
      <c r="D6" s="44"/>
    </row>
    <row r="7" spans="2:5" ht="17.25" thickBot="1" x14ac:dyDescent="0.25">
      <c r="B7" s="7" t="s">
        <v>3</v>
      </c>
      <c r="C7" s="36">
        <f>' גמל לבני 50 ומטה'!C7+'גמל לבני 50 עד 60'!C7+'גמל לבני 60 ומעלה'!C7+'גמל שקלי טווח קצר'!C7+'גמל אג"ח ללא מניות'!C7+'גמל אג"ח צמוד מדד '!C7+'גמל פאסיבי- מדדי אג"ח'!C7+' גמל אג"ח עד 15% מניות'!C7+' גמל אג"ח עד 20% מניות'!C7+' גמל אג"ח עד 25% מניות'!C7+'גמל פאסיבי- מדדי אג"ח עד 25% '!C7+'גמל פאסיבי מדדי חול'!C7+'גמל פאסיבי- מדדי מניות'!C7</f>
        <v>4013.7973294056487</v>
      </c>
      <c r="D7" s="44"/>
      <c r="E7" s="23"/>
    </row>
    <row r="8" spans="2:5" ht="17.25" thickBot="1" x14ac:dyDescent="0.25">
      <c r="B8" s="7"/>
      <c r="C8" s="26"/>
    </row>
    <row r="9" spans="2:5" ht="17.25" thickBot="1" x14ac:dyDescent="0.25">
      <c r="B9" s="16" t="s">
        <v>4</v>
      </c>
      <c r="C9" s="26"/>
    </row>
    <row r="10" spans="2:5" ht="17.25" thickBot="1" x14ac:dyDescent="0.25">
      <c r="B10" s="7" t="s">
        <v>5</v>
      </c>
      <c r="C10" s="21">
        <f>' גמל לבני 50 ומטה'!C10+'גמל לבני 50 עד 60'!C10+'גמל לבני 60 ומעלה'!C10+'גמל שקלי טווח קצר'!C10+'גמל אג"ח ללא מניות'!C10+'גמל אג"ח צמוד מדד '!C10+'גמל פאסיבי- מדדי אג"ח'!C10+' גמל אג"ח עד 15% מניות'!C10+' גמל אג"ח עד 20% מניות'!C10+' גמל אג"ח עד 25% מניות'!C10+'גמל פאסיבי- מדדי אג"ח עד 25% '!C10+'גמל פאסיבי מדדי חול'!C10+'גמל פאסיבי- מדדי מניות'!C10</f>
        <v>0</v>
      </c>
    </row>
    <row r="11" spans="2:5" ht="17.25" thickBot="1" x14ac:dyDescent="0.25">
      <c r="B11" s="7" t="s">
        <v>6</v>
      </c>
      <c r="C11" s="36">
        <f>' גמל לבני 50 ומטה'!C11+'גמל לבני 50 עד 60'!C11+'גמל לבני 60 ומעלה'!C11+'גמל שקלי טווח קצר'!C11+'גמל אג"ח ללא מניות'!C11+'גמל אג"ח צמוד מדד '!C11+'גמל פאסיבי- מדדי אג"ח'!C11+' גמל אג"ח עד 15% מניות'!C11+' גמל אג"ח עד 20% מניות'!C11+' גמל אג"ח עד 25% מניות'!C11+'גמל פאסיבי- מדדי אג"ח עד 25% '!C11+'גמל פאסיבי מדדי חול'!C11+'גמל פאסיבי- מדדי מניות'!C11</f>
        <v>855.49237000000107</v>
      </c>
    </row>
    <row r="12" spans="2:5" ht="17.25" thickBot="1" x14ac:dyDescent="0.25">
      <c r="B12" s="7"/>
      <c r="C12" s="26"/>
    </row>
    <row r="13" spans="2:5" ht="17.25" thickBot="1" x14ac:dyDescent="0.25">
      <c r="B13" s="16" t="s">
        <v>7</v>
      </c>
      <c r="C13" s="26"/>
    </row>
    <row r="14" spans="2:5" ht="26.25" thickBot="1" x14ac:dyDescent="0.25">
      <c r="B14" s="7" t="s">
        <v>8</v>
      </c>
      <c r="C14" s="36">
        <f>' גמל לבני 50 ומטה'!C14+'גמל לבני 50 עד 60'!C14+'גמל לבני 60 ומעלה'!C14+'גמל שקלי טווח קצר'!C14+'גמל אג"ח ללא מניות'!C14+'גמל אג"ח צמוד מדד '!C14+'גמל פאסיבי- מדדי אג"ח'!C14+' גמל אג"ח עד 15% מניות'!C14+' גמל אג"ח עד 20% מניות'!C14+' גמל אג"ח עד 25% מניות'!C14+'גמל פאסיבי- מדדי אג"ח עד 25% '!C14+'גמל פאסיבי מדדי חול'!C14+'גמל פאסיבי- מדדי מניות'!C14</f>
        <v>103.72994999999999</v>
      </c>
    </row>
    <row r="15" spans="2:5" ht="17.25" thickBot="1" x14ac:dyDescent="0.25">
      <c r="B15" s="7" t="s">
        <v>9</v>
      </c>
      <c r="C15" s="21">
        <f>' גמל לבני 50 ומטה'!C15+'גמל לבני 50 עד 60'!C15+'גמל לבני 60 ומעלה'!C15+'גמל שקלי טווח קצר'!C15+'גמל אג"ח ללא מניות'!C15+'גמל אג"ח צמוד מדד '!C15+'גמל פאסיבי- מדדי אג"ח'!C15+' גמל אג"ח עד 15% מניות'!C15+' גמל אג"ח עד 20% מניות'!C15+' גמל אג"ח עד 25% מניות'!C15+'גמל פאסיבי- מדדי אג"ח עד 25% '!C15+'גמל פאסיבי מדדי חול'!C15+'גמל פאסיבי- מדדי מניות'!C15</f>
        <v>0</v>
      </c>
    </row>
    <row r="16" spans="2:5" ht="17.25" thickBot="1" x14ac:dyDescent="0.25">
      <c r="B16" s="7" t="s">
        <v>10</v>
      </c>
      <c r="C16" s="36">
        <f>' גמל לבני 50 ומטה'!C16+'גמל לבני 50 עד 60'!C16+'גמל לבני 60 ומעלה'!C16+'גמל שקלי טווח קצר'!C16+'גמל אג"ח ללא מניות'!C16+'גמל אג"ח צמוד מדד '!C16+'גמל פאסיבי- מדדי אג"ח'!C16+' גמל אג"ח עד 15% מניות'!C16+' גמל אג"ח עד 20% מניות'!C16+' גמל אג"ח עד 25% מניות'!C16+'גמל פאסיבי- מדדי אג"ח עד 25% '!C16+'גמל פאסיבי מדדי חול'!C16+'גמל פאסיבי- מדדי מניות'!C16</f>
        <v>136.10400000000001</v>
      </c>
      <c r="D16" s="30"/>
    </row>
    <row r="17" spans="2:4" ht="17.25" thickBot="1" x14ac:dyDescent="0.25">
      <c r="B17" s="7"/>
      <c r="C17" s="26"/>
    </row>
    <row r="18" spans="2:4" ht="17.25" thickBot="1" x14ac:dyDescent="0.25">
      <c r="B18" s="16" t="s">
        <v>11</v>
      </c>
      <c r="C18" s="26"/>
    </row>
    <row r="19" spans="2:4" ht="17.25" thickBot="1" x14ac:dyDescent="0.25">
      <c r="B19" s="7" t="s">
        <v>12</v>
      </c>
      <c r="C19" s="36">
        <f>' גמל לבני 50 ומטה'!C19+' גמל אג"ח עד 15% מניות'!C19+' גמל אג"ח עד 25% מניות'!C19+' גמל אג"ח עד 20% מניות'!C19+'גמל לבני 60 ומעלה'!C19+'גמל אג"ח ללא מניות'!C19+'גמל אג"ח צמוד מדד '!C19+'גמל לבני 50 עד 60'!C19+'גמל פאסיבי- מדדי מניות'!C19+'גמל פאסיבי- מדדי אג"ח'!C19+'גמל פאסיבי- מדדי אג"ח עד 25% '!C19+'גמל פאסיבי מדדי חול'!C19+'גמל שקלי טווח קצר'!C19</f>
        <v>2778.5796284115263</v>
      </c>
    </row>
    <row r="20" spans="2:4" ht="17.25" thickBot="1" x14ac:dyDescent="0.25">
      <c r="B20" s="7" t="s">
        <v>13</v>
      </c>
      <c r="C20" s="36">
        <f>' גמל לבני 50 ומטה'!C20+'גמל לבני 50 עד 60'!C20+'גמל לבני 60 ומעלה'!C20+'גמל שקלי טווח קצר'!C20+'גמל אג"ח ללא מניות'!C20+'גמל אג"ח צמוד מדד '!C20+'גמל פאסיבי- מדדי אג"ח'!C20+' גמל אג"ח עד 15% מניות'!C20+' גמל אג"ח עד 20% מניות'!C20+' גמל אג"ח עד 25% מניות'!C20+'גמל פאסיבי- מדדי אג"ח עד 25% '!C20+'גמל פאסיבי מדדי חול'!C20+'גמל פאסיבי- מדדי מניות'!C20</f>
        <v>9610.2123490445119</v>
      </c>
    </row>
    <row r="21" spans="2:4" ht="16.5" customHeight="1" thickBot="1" x14ac:dyDescent="0.25">
      <c r="B21" s="7" t="s">
        <v>14</v>
      </c>
      <c r="C21" s="21">
        <f>' גמל לבני 50 ומטה'!C21+'גמל לבני 50 עד 60'!C21+'גמל לבני 60 ומעלה'!C21+'גמל שקלי טווח קצר'!C21+'גמל אג"ח ללא מניות'!C21+'גמל אג"ח צמוד מדד '!C21+'גמל פאסיבי- מדדי אג"ח'!C21+' גמל אג"ח עד 15% מניות'!C21+' גמל אג"ח עד 20% מניות'!C21+' גמל אג"ח עד 25% מניות'!C21+'גמל פאסיבי- מדדי אג"ח עד 25% '!C21+'גמל פאסיבי מדדי חול'!C21+'גמל פאסיבי- מדדי מניות'!C21</f>
        <v>0</v>
      </c>
    </row>
    <row r="22" spans="2:4" ht="17.25" thickBot="1" x14ac:dyDescent="0.25">
      <c r="B22" s="7" t="s">
        <v>15</v>
      </c>
      <c r="C22" s="21">
        <f>' גמל לבני 50 ומטה'!C22+'גמל לבני 50 עד 60'!C22+'גמל לבני 60 ומעלה'!C22+'גמל שקלי טווח קצר'!C22+'גמל אג"ח ללא מניות'!C22+'גמל אג"ח צמוד מדד '!C22+'גמל פאסיבי- מדדי אג"ח'!C22+' גמל אג"ח עד 15% מניות'!C22+' גמל אג"ח עד 20% מניות'!C22+' גמל אג"ח עד 25% מניות'!C22+'גמל פאסיבי- מדדי אג"ח עד 25% '!C22+'גמל פאסיבי מדדי חול'!C22+'גמל פאסיבי- מדדי מניות'!C22</f>
        <v>0</v>
      </c>
    </row>
    <row r="23" spans="2:4" ht="17.25" thickBot="1" x14ac:dyDescent="0.25">
      <c r="B23" s="7" t="s">
        <v>16</v>
      </c>
      <c r="C23" s="49">
        <f>' גמל לבני 50 ומטה'!C23+'גמל לבני 50 עד 60'!C23+'גמל לבני 60 ומעלה'!C23+'גמל שקלי טווח קצר'!C23+'גמל אג"ח ללא מניות'!C23+'גמל אג"ח צמוד מדד '!C23+'גמל פאסיבי- מדדי אג"ח'!C23+' גמל אג"ח עד 15% מניות'!C23+' גמל אג"ח עד 20% מניות'!C23+' גמל אג"ח עד 25% מניות'!C23+'גמל פאסיבי- מדדי אג"ח עד 25% '!C23+'גמל פאסיבי מדדי חול'!C23+'גמל פאסיבי- מדדי מניות'!C23</f>
        <v>-108.33002669540843</v>
      </c>
      <c r="D23" s="42"/>
    </row>
    <row r="24" spans="2:4" ht="17.25" thickBot="1" x14ac:dyDescent="0.25">
      <c r="B24" s="7" t="s">
        <v>17</v>
      </c>
      <c r="C24" s="36">
        <f>' גמל לבני 50 ומטה'!C24+'גמל לבני 50 עד 60'!C24+'גמל לבני 60 ומעלה'!C24+'גמל שקלי טווח קצר'!C24+'גמל אג"ח ללא מניות'!C24+'גמל אג"ח צמוד מדד '!C24+'גמל פאסיבי- מדדי אג"ח'!C24+' גמל אג"ח עד 15% מניות'!C24+' גמל אג"ח עד 20% מניות'!C24+' גמל אג"ח עד 25% מניות'!C24+'גמל פאסיבי- מדדי אג"ח עד 25% '!C24+'גמל פאסיבי מדדי חול'!C24+'גמל פאסיבי- מדדי מניות'!C24</f>
        <v>309.50529086915549</v>
      </c>
      <c r="D24" s="42"/>
    </row>
    <row r="25" spans="2:4" ht="17.25" thickBot="1" x14ac:dyDescent="0.25">
      <c r="B25" s="7" t="s">
        <v>18</v>
      </c>
      <c r="C25" s="36">
        <f>' גמל לבני 50 ומטה'!C25+'גמל לבני 50 עד 60'!C25+'גמל לבני 60 ומעלה'!C25+'גמל שקלי טווח קצר'!C25+'גמל אג"ח ללא מניות'!C25+'גמל אג"ח צמוד מדד '!C25+'גמל פאסיבי- מדדי אג"ח'!C25+' גמל אג"ח עד 15% מניות'!C25+' גמל אג"ח עד 20% מניות'!C25+' גמל אג"ח עד 25% מניות'!C25+'גמל פאסיבי- מדדי אג"ח עד 25% '!C25+'גמל פאסיבי מדדי חול'!C25+'גמל פאסיבי- מדדי מניות'!C25</f>
        <v>12.898573390004248</v>
      </c>
    </row>
    <row r="26" spans="2:4" ht="17.25" thickBot="1" x14ac:dyDescent="0.25">
      <c r="B26" s="7" t="s">
        <v>19</v>
      </c>
      <c r="C26" s="36">
        <f>' גמל לבני 50 ומטה'!C26+'גמל לבני 50 עד 60'!C26+'גמל לבני 60 ומעלה'!C26+'גמל שקלי טווח קצר'!C26+'גמל אג"ח ללא מניות'!C26+'גמל אג"ח צמוד מדד '!C26+'גמל פאסיבי- מדדי אג"ח'!C26+' גמל אג"ח עד 15% מניות'!C26+' גמל אג"ח עד 20% מניות'!C26+' גמל אג"ח עד 25% מניות'!C26+'גמל פאסיבי- מדדי אג"ח עד 25% '!C26+'גמל פאסיבי מדדי חול'!C26+'גמל פאסיבי- מדדי מניות'!C26</f>
        <v>1503.1367925999164</v>
      </c>
    </row>
    <row r="27" spans="2:4" ht="17.25" thickBot="1" x14ac:dyDescent="0.25">
      <c r="B27" s="7"/>
      <c r="C27" s="10"/>
    </row>
    <row r="28" spans="2:4" ht="17.25" thickBot="1" x14ac:dyDescent="0.25">
      <c r="B28" s="16" t="s">
        <v>20</v>
      </c>
      <c r="C28" s="10"/>
    </row>
    <row r="29" spans="2:4" ht="17.25" thickBot="1" x14ac:dyDescent="0.25">
      <c r="B29" s="7" t="s">
        <v>21</v>
      </c>
      <c r="C29" s="21">
        <f>' גמל לבני 50 ומטה'!C29+'גמל לבני 50 עד 60'!C29+'גמל לבני 60 ומעלה'!C29+'גמל שקלי טווח קצר'!C29+'גמל אג"ח ללא מניות'!C29+'גמל אג"ח צמוד מדד '!C29+'גמל פאסיבי- מדדי אג"ח'!C29+' גמל אג"ח עד 15% מניות'!C29+' גמל אג"ח עד 20% מניות'!C29+' גמל אג"ח עד 25% מניות'!C29+'גמל פאסיבי- מדדי אג"ח עד 25% '!C29+'גמל פאסיבי מדדי חול'!C29+'גמל פאסיבי- מדדי מניות'!C29</f>
        <v>0</v>
      </c>
    </row>
    <row r="30" spans="2:4" ht="17.25" thickBot="1" x14ac:dyDescent="0.25">
      <c r="B30" s="7" t="s">
        <v>22</v>
      </c>
      <c r="C30" s="21">
        <f>' גמל לבני 50 ומטה'!C30+'גמל לבני 50 עד 60'!C30+'גמל לבני 60 ומעלה'!C30+'גמל שקלי טווח קצר'!C30+'גמל אג"ח ללא מניות'!C30+'גמל אג"ח צמוד מדד '!C30+'גמל פאסיבי- מדדי אג"ח'!C30+' גמל אג"ח עד 15% מניות'!C30+' גמל אג"ח עד 20% מניות'!C30+' גמל אג"ח עד 25% מניות'!C30+'גמל פאסיבי- מדדי אג"ח עד 25% '!C30+'גמל פאסיבי מדדי חול'!C30+'גמל פאסיבי- מדדי מניות'!C30</f>
        <v>0</v>
      </c>
    </row>
    <row r="31" spans="2:4" ht="17.25" thickBot="1" x14ac:dyDescent="0.25">
      <c r="B31" s="7"/>
      <c r="C31" s="10"/>
    </row>
    <row r="32" spans="2:4" ht="17.25" thickBot="1" x14ac:dyDescent="0.25">
      <c r="B32" s="16" t="s">
        <v>54</v>
      </c>
      <c r="C32" s="21">
        <f>' גמל לבני 50 ומטה'!C32+'גמל לבני 50 עד 60'!C32+'גמל לבני 60 ומעלה'!C32+'גמל שקלי טווח קצר'!C32+'גמל אג"ח ללא מניות'!C32+'גמל אג"ח צמוד מדד '!C32+'גמל פאסיבי- מדדי אג"ח'!C32+' גמל אג"ח עד 15% מניות'!C32+' גמל אג"ח עד 20% מניות'!C32+' גמל אג"ח עד 25% מניות'!C32+'גמל פאסיבי- מדדי אג"ח עד 25% '!C32+'גמל פאסיבי מדדי חול'!C32+'גמל פאסיבי- מדדי מניות'!C32</f>
        <v>19916.971312723235</v>
      </c>
      <c r="D32" s="30"/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1"/>
    </row>
    <row r="35" spans="2:3" ht="39" thickBot="1" x14ac:dyDescent="0.25">
      <c r="B35" s="7" t="s">
        <v>61</v>
      </c>
      <c r="C35" s="32">
        <f>(C14+C19+C20+C21+C22+C23+C24+C25+C26+C30)/(10687710131/1000)</f>
        <v>1.3295394788453315E-3</v>
      </c>
    </row>
    <row r="36" spans="2:3" ht="39" thickBot="1" x14ac:dyDescent="0.25">
      <c r="B36" s="7" t="s">
        <v>55</v>
      </c>
      <c r="C36" s="27">
        <f>C32/C38</f>
        <v>1.9379901389900164E-3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f>' גמל לבני 50 ומטה'!C38+'גמל לבני 50 עד 60'!C38+'גמל לבני 60 ומעלה'!C38+'גמל שקלי טווח קצר'!C39+'גמל אג"ח ללא מניות'!C40+'גמל אג"ח צמוד מדד '!C40+'גמל פאסיבי- מדדי אג"ח'!C40+' גמל אג"ח עד 15% מניות'!C38+' גמל אג"ח עד 20% מניות'!C40+' גמל אג"ח עד 25% מניות'!C40+'גמל פאסיבי- מדדי אג"ח עד 25% '!C39+'גמל פאסיבי מדדי חול'!C40+'גמל פאסיבי- מדדי מניות'!C40</f>
        <v>10277127.273259999</v>
      </c>
    </row>
    <row r="41" spans="2:3" x14ac:dyDescent="0.25">
      <c r="C41" s="9">
        <v>10687710130.590002</v>
      </c>
    </row>
    <row r="42" spans="2:3" x14ac:dyDescent="0.25">
      <c r="C42" s="28"/>
    </row>
    <row r="43" spans="2:3" x14ac:dyDescent="0.25">
      <c r="B43" s="2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9" workbookViewId="0">
      <selection activeCell="D35" sqref="D35:D37"/>
    </sheetView>
  </sheetViews>
  <sheetFormatPr defaultRowHeight="15" x14ac:dyDescent="0.25"/>
  <cols>
    <col min="2" max="2" width="45.375" style="18" customWidth="1"/>
    <col min="3" max="3" width="28.125" style="9" customWidth="1"/>
  </cols>
  <sheetData>
    <row r="1" spans="2:4" ht="16.5" x14ac:dyDescent="0.25">
      <c r="B1" s="20" t="s">
        <v>134</v>
      </c>
      <c r="C1" s="9" t="s">
        <v>135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0</v>
      </c>
      <c r="D6" s="47" t="s">
        <v>101</v>
      </c>
    </row>
    <row r="7" spans="2:4" ht="17.25" thickBot="1" x14ac:dyDescent="0.25">
      <c r="B7" s="7" t="s">
        <v>3</v>
      </c>
      <c r="C7" s="36">
        <v>20.505249999999975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21">
        <v>0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21">
        <v>0</v>
      </c>
      <c r="D23" s="47" t="s">
        <v>112</v>
      </c>
    </row>
    <row r="24" spans="2:4" ht="17.25" thickBot="1" x14ac:dyDescent="0.25">
      <c r="B24" s="7" t="s">
        <v>17</v>
      </c>
      <c r="C24" s="21">
        <v>0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20.505249999999975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6.25" thickBot="1" x14ac:dyDescent="0.25">
      <c r="B35" s="7" t="s">
        <v>61</v>
      </c>
      <c r="C35" s="60">
        <f>(C14+C19+C20+C21+C22+C23+C24+C25+C26+C30)/(59396047/1000)</f>
        <v>0</v>
      </c>
      <c r="D35" s="55" t="s">
        <v>119</v>
      </c>
    </row>
    <row r="36" spans="2:4" ht="14.25" customHeight="1" x14ac:dyDescent="0.2">
      <c r="B36" s="5"/>
      <c r="C36" s="63"/>
      <c r="D36" s="64"/>
    </row>
    <row r="37" spans="2:4" ht="15" customHeight="1" thickBot="1" x14ac:dyDescent="0.25">
      <c r="B37" s="7"/>
      <c r="C37" s="61"/>
      <c r="D37" s="56"/>
    </row>
    <row r="38" spans="2:4" ht="26.25" thickBot="1" x14ac:dyDescent="0.25">
      <c r="B38" s="7" t="s">
        <v>55</v>
      </c>
      <c r="C38" s="27">
        <f>C32/C40</f>
        <v>1.6330063614502332E-3</v>
      </c>
      <c r="D38" s="47" t="s">
        <v>120</v>
      </c>
    </row>
    <row r="39" spans="2:4" ht="17.25" thickBot="1" x14ac:dyDescent="0.25">
      <c r="B39" s="7"/>
      <c r="C39" s="10"/>
      <c r="D39" s="47"/>
    </row>
    <row r="40" spans="2:4" ht="17.25" thickBot="1" x14ac:dyDescent="0.25">
      <c r="B40" s="7" t="s">
        <v>24</v>
      </c>
      <c r="C40" s="21">
        <v>12556.748390000001</v>
      </c>
      <c r="D40" s="47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2" workbookViewId="0">
      <selection activeCell="C35" sqref="C35"/>
    </sheetView>
  </sheetViews>
  <sheetFormatPr defaultRowHeight="15" x14ac:dyDescent="0.25"/>
  <cols>
    <col min="2" max="2" width="49.5" style="18" customWidth="1"/>
    <col min="3" max="3" width="25.875" style="9" customWidth="1"/>
  </cols>
  <sheetData>
    <row r="1" spans="2:4" ht="16.5" x14ac:dyDescent="0.25">
      <c r="B1" s="20" t="s">
        <v>122</v>
      </c>
      <c r="C1" s="9" t="s">
        <v>123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205.99275140099977</v>
      </c>
      <c r="D6" s="47" t="s">
        <v>101</v>
      </c>
    </row>
    <row r="7" spans="2:4" ht="17.25" thickBot="1" x14ac:dyDescent="0.25">
      <c r="B7" s="7" t="s">
        <v>3</v>
      </c>
      <c r="C7" s="36">
        <v>811.41458193020492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36">
        <v>246.88004000000009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36">
        <v>71.22847999999999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17.25" thickBot="1" x14ac:dyDescent="0.25">
      <c r="B19" s="7" t="s">
        <v>12</v>
      </c>
      <c r="C19" s="36">
        <v>558.02147744397246</v>
      </c>
      <c r="D19" s="47" t="s">
        <v>108</v>
      </c>
    </row>
    <row r="20" spans="2:4" ht="17.25" thickBot="1" x14ac:dyDescent="0.25">
      <c r="B20" s="7" t="s">
        <v>13</v>
      </c>
      <c r="C20" s="36">
        <v>1544.1963734468125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49">
        <v>-41.066805850816429</v>
      </c>
      <c r="D23" s="47" t="s">
        <v>112</v>
      </c>
    </row>
    <row r="24" spans="2:4" ht="17.25" thickBot="1" x14ac:dyDescent="0.25">
      <c r="B24" s="7" t="s">
        <v>17</v>
      </c>
      <c r="C24" s="36">
        <v>2.1459061771383561</v>
      </c>
      <c r="D24" s="47" t="s">
        <v>113</v>
      </c>
    </row>
    <row r="25" spans="2:4" ht="15.75" customHeight="1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36">
        <v>386.30202596560554</v>
      </c>
      <c r="D26" s="47" t="s">
        <v>115</v>
      </c>
    </row>
    <row r="27" spans="2:4" ht="17.25" thickBot="1" x14ac:dyDescent="0.25">
      <c r="B27" s="7"/>
      <c r="C27" s="26"/>
      <c r="D27" s="48"/>
    </row>
    <row r="28" spans="2:4" ht="17.25" thickBot="1" x14ac:dyDescent="0.25">
      <c r="B28" s="16" t="s">
        <v>20</v>
      </c>
      <c r="C28" s="26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26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3785.1148305139172</v>
      </c>
      <c r="D32" s="47" t="s">
        <v>118</v>
      </c>
    </row>
    <row r="33" spans="2:4" ht="17.25" thickBot="1" x14ac:dyDescent="0.25">
      <c r="B33" s="17"/>
      <c r="C33" s="26"/>
      <c r="D33" s="47"/>
    </row>
    <row r="34" spans="2:4" ht="17.25" thickBot="1" x14ac:dyDescent="0.25">
      <c r="B34" s="16" t="s">
        <v>23</v>
      </c>
      <c r="C34" s="26"/>
      <c r="D34" s="47"/>
    </row>
    <row r="35" spans="2:4" ht="26.25" thickBot="1" x14ac:dyDescent="0.25">
      <c r="B35" s="7" t="s">
        <v>61</v>
      </c>
      <c r="C35" s="32">
        <f>(C14+C19+C20+C21+C22+C23+C24+C25+C26+C30)/(2336386534/1000)</f>
        <v>1.0789428121154856E-3</v>
      </c>
      <c r="D35" s="47" t="s">
        <v>119</v>
      </c>
    </row>
    <row r="36" spans="2:4" ht="26.25" thickBot="1" x14ac:dyDescent="0.25">
      <c r="B36" s="7" t="s">
        <v>55</v>
      </c>
      <c r="C36" s="27">
        <f>C32/C38</f>
        <v>1.5788959370266725E-3</v>
      </c>
      <c r="D36" s="47" t="s">
        <v>120</v>
      </c>
    </row>
    <row r="37" spans="2:4" ht="17.25" thickBot="1" x14ac:dyDescent="0.25">
      <c r="B37" s="7"/>
      <c r="C37" s="26"/>
      <c r="D37" s="47"/>
    </row>
    <row r="38" spans="2:4" ht="17.25" thickBot="1" x14ac:dyDescent="0.25">
      <c r="B38" s="7" t="s">
        <v>24</v>
      </c>
      <c r="C38" s="21">
        <v>2397317.4810000001</v>
      </c>
      <c r="D38" s="47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1" zoomScaleNormal="100" workbookViewId="0">
      <selection activeCell="D35" sqref="D35:D37"/>
    </sheetView>
  </sheetViews>
  <sheetFormatPr defaultRowHeight="15" x14ac:dyDescent="0.25"/>
  <cols>
    <col min="2" max="2" width="44.5" style="18" customWidth="1"/>
    <col min="3" max="3" width="28.875" style="9" customWidth="1"/>
  </cols>
  <sheetData>
    <row r="1" spans="2:4" ht="16.5" x14ac:dyDescent="0.25">
      <c r="B1" s="20" t="s">
        <v>127</v>
      </c>
      <c r="C1" s="9" t="s">
        <v>128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26"/>
      <c r="D5" s="46"/>
    </row>
    <row r="6" spans="2:4" ht="17.25" thickBot="1" x14ac:dyDescent="0.25">
      <c r="B6" s="7" t="s">
        <v>2</v>
      </c>
      <c r="C6" s="36">
        <v>11.098789247999999</v>
      </c>
      <c r="D6" s="47" t="s">
        <v>101</v>
      </c>
    </row>
    <row r="7" spans="2:4" ht="17.25" thickBot="1" x14ac:dyDescent="0.25">
      <c r="B7" s="7" t="s">
        <v>3</v>
      </c>
      <c r="C7" s="36">
        <v>64.403634577679583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36">
        <v>14.6311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36">
        <v>0.33300000000000002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36">
        <v>162.81225972805183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49">
        <v>-3.2902983526246314E-2</v>
      </c>
      <c r="D23" s="47" t="s">
        <v>112</v>
      </c>
    </row>
    <row r="24" spans="2:4" ht="17.25" thickBot="1" x14ac:dyDescent="0.25">
      <c r="B24" s="7" t="s">
        <v>17</v>
      </c>
      <c r="C24" s="36">
        <v>0.19893659088972601</v>
      </c>
      <c r="D24" s="47" t="s">
        <v>113</v>
      </c>
    </row>
    <row r="25" spans="2:4" ht="17.25" thickBot="1" x14ac:dyDescent="0.25">
      <c r="B25" s="7" t="s">
        <v>18</v>
      </c>
      <c r="C25" s="36">
        <v>0</v>
      </c>
      <c r="D25" s="47" t="s">
        <v>114</v>
      </c>
    </row>
    <row r="26" spans="2:4" ht="17.25" thickBot="1" x14ac:dyDescent="0.25">
      <c r="B26" s="7" t="s">
        <v>19</v>
      </c>
      <c r="C26" s="36">
        <v>24.644687632270546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278.08950479336545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6.25" thickBot="1" x14ac:dyDescent="0.25">
      <c r="B35" s="7" t="s">
        <v>61</v>
      </c>
      <c r="C35" s="60">
        <f>(C14+C19+C20+C21+C22+C23+C24+C25+C26+C30)/(170776748/1000)</f>
        <v>1.100594683813079E-3</v>
      </c>
      <c r="D35" s="55" t="s">
        <v>119</v>
      </c>
    </row>
    <row r="36" spans="2:4" ht="14.25" customHeight="1" x14ac:dyDescent="0.2">
      <c r="B36" s="5"/>
      <c r="C36" s="62"/>
      <c r="D36" s="64"/>
    </row>
    <row r="37" spans="2:4" ht="15" customHeight="1" thickBot="1" x14ac:dyDescent="0.25">
      <c r="B37" s="7"/>
      <c r="C37" s="59"/>
      <c r="D37" s="56"/>
    </row>
    <row r="38" spans="2:4" ht="26.25" thickBot="1" x14ac:dyDescent="0.25">
      <c r="B38" s="7" t="s">
        <v>55</v>
      </c>
      <c r="C38" s="27">
        <f>C32/C40</f>
        <v>1.8049396523746723E-3</v>
      </c>
      <c r="D38" s="47" t="s">
        <v>120</v>
      </c>
    </row>
    <row r="39" spans="2:4" ht="17.25" thickBot="1" x14ac:dyDescent="0.25">
      <c r="B39" s="7"/>
      <c r="C39" s="10"/>
      <c r="D39" s="47"/>
    </row>
    <row r="40" spans="2:4" ht="17.25" thickBot="1" x14ac:dyDescent="0.25">
      <c r="B40" s="7" t="s">
        <v>24</v>
      </c>
      <c r="C40" s="21">
        <v>154071.35880000002</v>
      </c>
      <c r="D40" s="47" t="s">
        <v>121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5" workbookViewId="0">
      <selection activeCell="D35" sqref="D35:D37"/>
    </sheetView>
  </sheetViews>
  <sheetFormatPr defaultRowHeight="15" x14ac:dyDescent="0.25"/>
  <cols>
    <col min="2" max="2" width="50.625" style="18" customWidth="1"/>
    <col min="3" max="3" width="22.25" style="9" customWidth="1"/>
  </cols>
  <sheetData>
    <row r="1" spans="2:4" ht="16.5" x14ac:dyDescent="0.25">
      <c r="B1" s="20" t="s">
        <v>124</v>
      </c>
      <c r="C1" s="9" t="s">
        <v>125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52">
        <v>69.985636346999982</v>
      </c>
      <c r="D6" s="47" t="s">
        <v>101</v>
      </c>
    </row>
    <row r="7" spans="2:4" ht="17.25" thickBot="1" x14ac:dyDescent="0.25">
      <c r="B7" s="7" t="s">
        <v>3</v>
      </c>
      <c r="C7" s="52">
        <v>476.5403383148996</v>
      </c>
      <c r="D7" s="47" t="s">
        <v>102</v>
      </c>
    </row>
    <row r="8" spans="2:4" ht="17.25" thickBot="1" x14ac:dyDescent="0.25">
      <c r="B8" s="7"/>
      <c r="C8" s="34"/>
      <c r="D8" s="47"/>
    </row>
    <row r="9" spans="2:4" ht="17.25" thickBot="1" x14ac:dyDescent="0.25">
      <c r="B9" s="16" t="s">
        <v>4</v>
      </c>
      <c r="C9" s="34"/>
      <c r="D9" s="47"/>
    </row>
    <row r="10" spans="2:4" ht="17.25" thickBot="1" x14ac:dyDescent="0.25">
      <c r="B10" s="7" t="s">
        <v>5</v>
      </c>
      <c r="C10" s="33">
        <v>0</v>
      </c>
      <c r="D10" s="47" t="s">
        <v>103</v>
      </c>
    </row>
    <row r="11" spans="2:4" ht="17.25" thickBot="1" x14ac:dyDescent="0.25">
      <c r="B11" s="7" t="s">
        <v>6</v>
      </c>
      <c r="C11" s="52">
        <v>104.64583000000009</v>
      </c>
      <c r="D11" s="47" t="s">
        <v>104</v>
      </c>
    </row>
    <row r="12" spans="2:4" ht="17.25" thickBot="1" x14ac:dyDescent="0.25">
      <c r="B12" s="7"/>
      <c r="C12" s="34"/>
      <c r="D12" s="48"/>
    </row>
    <row r="13" spans="2:4" ht="17.25" thickBot="1" x14ac:dyDescent="0.25">
      <c r="B13" s="16" t="s">
        <v>7</v>
      </c>
      <c r="C13" s="34"/>
      <c r="D13" s="47"/>
    </row>
    <row r="14" spans="2:4" ht="26.25" thickBot="1" x14ac:dyDescent="0.25">
      <c r="B14" s="7" t="s">
        <v>8</v>
      </c>
      <c r="C14" s="52">
        <v>0.85587000000000002</v>
      </c>
      <c r="D14" s="47" t="s">
        <v>105</v>
      </c>
    </row>
    <row r="15" spans="2:4" ht="17.25" thickBot="1" x14ac:dyDescent="0.25">
      <c r="B15" s="7" t="s">
        <v>9</v>
      </c>
      <c r="C15" s="33">
        <v>0</v>
      </c>
      <c r="D15" s="47" t="s">
        <v>106</v>
      </c>
    </row>
    <row r="16" spans="2:4" ht="17.25" thickBot="1" x14ac:dyDescent="0.25">
      <c r="B16" s="7" t="s">
        <v>10</v>
      </c>
      <c r="C16" s="33">
        <v>0</v>
      </c>
      <c r="D16" s="47" t="s">
        <v>107</v>
      </c>
    </row>
    <row r="17" spans="2:4" ht="17.25" thickBot="1" x14ac:dyDescent="0.25">
      <c r="B17" s="7"/>
      <c r="C17" s="34"/>
      <c r="D17" s="47"/>
    </row>
    <row r="18" spans="2:4" ht="17.25" thickBot="1" x14ac:dyDescent="0.25">
      <c r="B18" s="16" t="s">
        <v>11</v>
      </c>
      <c r="C18" s="34"/>
      <c r="D18" s="47"/>
    </row>
    <row r="19" spans="2:4" ht="17.25" thickBot="1" x14ac:dyDescent="0.25">
      <c r="B19" s="7" t="s">
        <v>12</v>
      </c>
      <c r="C19" s="52">
        <v>530.81771488037441</v>
      </c>
      <c r="D19" s="47" t="s">
        <v>108</v>
      </c>
    </row>
    <row r="20" spans="2:4" ht="17.25" thickBot="1" x14ac:dyDescent="0.25">
      <c r="B20" s="7" t="s">
        <v>13</v>
      </c>
      <c r="C20" s="52">
        <v>2072.6786304811499</v>
      </c>
      <c r="D20" s="47" t="s">
        <v>109</v>
      </c>
    </row>
    <row r="21" spans="2:4" ht="17.25" thickBot="1" x14ac:dyDescent="0.25">
      <c r="B21" s="7" t="s">
        <v>14</v>
      </c>
      <c r="C21" s="33">
        <v>0</v>
      </c>
      <c r="D21" s="47" t="s">
        <v>110</v>
      </c>
    </row>
    <row r="22" spans="2:4" ht="17.25" thickBot="1" x14ac:dyDescent="0.25">
      <c r="B22" s="7" t="s">
        <v>15</v>
      </c>
      <c r="C22" s="33">
        <v>0</v>
      </c>
      <c r="D22" s="47" t="s">
        <v>111</v>
      </c>
    </row>
    <row r="23" spans="2:4" ht="17.25" thickBot="1" x14ac:dyDescent="0.25">
      <c r="B23" s="7" t="s">
        <v>16</v>
      </c>
      <c r="C23" s="53">
        <v>-6.1626888575342464</v>
      </c>
      <c r="D23" s="47" t="s">
        <v>112</v>
      </c>
    </row>
    <row r="24" spans="2:4" ht="17.25" thickBot="1" x14ac:dyDescent="0.25">
      <c r="B24" s="7" t="s">
        <v>17</v>
      </c>
      <c r="C24" s="52">
        <v>0</v>
      </c>
      <c r="D24" s="47" t="s">
        <v>113</v>
      </c>
    </row>
    <row r="25" spans="2:4" ht="17.25" thickBot="1" x14ac:dyDescent="0.25">
      <c r="B25" s="7" t="s">
        <v>18</v>
      </c>
      <c r="C25" s="33">
        <v>0</v>
      </c>
      <c r="D25" s="47" t="s">
        <v>114</v>
      </c>
    </row>
    <row r="26" spans="2:4" ht="17.25" thickBot="1" x14ac:dyDescent="0.25">
      <c r="B26" s="7" t="s">
        <v>19</v>
      </c>
      <c r="C26" s="52">
        <v>98.596607161766386</v>
      </c>
      <c r="D26" s="47" t="s">
        <v>115</v>
      </c>
    </row>
    <row r="27" spans="2:4" ht="17.25" thickBot="1" x14ac:dyDescent="0.25">
      <c r="B27" s="7"/>
      <c r="C27" s="34"/>
      <c r="D27" s="48"/>
    </row>
    <row r="28" spans="2:4" ht="17.25" thickBot="1" x14ac:dyDescent="0.25">
      <c r="B28" s="16" t="s">
        <v>20</v>
      </c>
      <c r="C28" s="34"/>
      <c r="D28" s="47"/>
    </row>
    <row r="29" spans="2:4" ht="17.25" thickBot="1" x14ac:dyDescent="0.25">
      <c r="B29" s="7" t="s">
        <v>21</v>
      </c>
      <c r="C29" s="33">
        <v>0</v>
      </c>
      <c r="D29" s="47" t="s">
        <v>116</v>
      </c>
    </row>
    <row r="30" spans="2:4" ht="17.25" thickBot="1" x14ac:dyDescent="0.25">
      <c r="B30" s="7" t="s">
        <v>22</v>
      </c>
      <c r="C30" s="33">
        <v>0</v>
      </c>
      <c r="D30" s="47" t="s">
        <v>117</v>
      </c>
    </row>
    <row r="31" spans="2:4" ht="17.25" thickBot="1" x14ac:dyDescent="0.25">
      <c r="B31" s="7"/>
      <c r="C31" s="34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3347.9579383276559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26"/>
      <c r="D34" s="47"/>
    </row>
    <row r="35" spans="2:4" ht="38.25" customHeight="1" thickBot="1" x14ac:dyDescent="0.25">
      <c r="B35" s="7" t="s">
        <v>61</v>
      </c>
      <c r="C35" s="60">
        <f>(C14+C19+C20+C21+C22+C23+C24+C25+C26+C30)/(1025266633/1000)</f>
        <v>2.6303266358866824E-3</v>
      </c>
      <c r="D35" s="55" t="s">
        <v>119</v>
      </c>
    </row>
    <row r="36" spans="2:4" ht="14.25" customHeight="1" x14ac:dyDescent="0.2">
      <c r="B36" s="5"/>
      <c r="C36" s="62"/>
      <c r="D36" s="64"/>
    </row>
    <row r="37" spans="2:4" ht="15" customHeight="1" thickBot="1" x14ac:dyDescent="0.25">
      <c r="B37" s="7"/>
      <c r="C37" s="59"/>
      <c r="D37" s="56"/>
    </row>
    <row r="38" spans="2:4" ht="39" customHeight="1" thickBot="1" x14ac:dyDescent="0.25">
      <c r="B38" s="7" t="s">
        <v>55</v>
      </c>
      <c r="C38" s="27">
        <f>C32/C40</f>
        <v>3.0583720942550007E-3</v>
      </c>
      <c r="D38" s="47" t="s">
        <v>120</v>
      </c>
    </row>
    <row r="39" spans="2:4" ht="17.25" thickBot="1" x14ac:dyDescent="0.25">
      <c r="B39" s="7"/>
      <c r="C39" s="26"/>
      <c r="D39" s="47"/>
    </row>
    <row r="40" spans="2:4" ht="17.25" thickBot="1" x14ac:dyDescent="0.25">
      <c r="B40" s="7" t="s">
        <v>24</v>
      </c>
      <c r="C40" s="21">
        <v>1094686.2694100002</v>
      </c>
      <c r="D40" s="47" t="s">
        <v>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opLeftCell="A23" workbookViewId="0">
      <selection activeCell="D35" sqref="D35:D36"/>
    </sheetView>
  </sheetViews>
  <sheetFormatPr defaultRowHeight="14.25" x14ac:dyDescent="0.2"/>
  <cols>
    <col min="2" max="2" width="74.875" bestFit="1" customWidth="1"/>
    <col min="3" max="3" width="10" bestFit="1" customWidth="1"/>
  </cols>
  <sheetData>
    <row r="1" spans="2:4" ht="16.5" x14ac:dyDescent="0.25">
      <c r="B1" s="20" t="s">
        <v>130</v>
      </c>
      <c r="C1" s="9" t="s">
        <v>131</v>
      </c>
    </row>
    <row r="2" spans="2:4" ht="15" x14ac:dyDescent="0.25">
      <c r="B2" s="19"/>
      <c r="C2" s="9"/>
    </row>
    <row r="3" spans="2:4" ht="15.75" thickBot="1" x14ac:dyDescent="0.3">
      <c r="B3" s="1" t="s">
        <v>81</v>
      </c>
      <c r="C3" s="9"/>
    </row>
    <row r="4" spans="2:4" ht="15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0</v>
      </c>
      <c r="D6" s="47" t="s">
        <v>101</v>
      </c>
    </row>
    <row r="7" spans="2:4" ht="17.25" thickBot="1" x14ac:dyDescent="0.25">
      <c r="B7" s="7" t="s">
        <v>3</v>
      </c>
      <c r="C7" s="36">
        <v>105.51853000000017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36">
        <v>0.90181000000000022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17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36">
        <v>6.3575261690260287</v>
      </c>
      <c r="D23" s="47" t="s">
        <v>112</v>
      </c>
    </row>
    <row r="24" spans="2:4" ht="17.25" thickBot="1" x14ac:dyDescent="0.25">
      <c r="B24" s="7" t="s">
        <v>17</v>
      </c>
      <c r="C24" s="36">
        <v>0.23688934748920551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113.01475551651541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5.5" customHeight="1" thickBot="1" x14ac:dyDescent="0.25">
      <c r="B35" s="7" t="s">
        <v>61</v>
      </c>
      <c r="C35" s="38">
        <f>(C14+C19+C20+C21+C22+C23+C24+C25+C26+C30)/(361945736/1000)</f>
        <v>1.8219348539349098E-5</v>
      </c>
      <c r="D35" s="55" t="s">
        <v>119</v>
      </c>
    </row>
    <row r="36" spans="2:4" ht="25.5" customHeight="1" thickBot="1" x14ac:dyDescent="0.25">
      <c r="B36" s="7"/>
      <c r="C36" s="38"/>
      <c r="D36" s="56"/>
    </row>
    <row r="37" spans="2:4" ht="15" customHeight="1" thickBot="1" x14ac:dyDescent="0.25">
      <c r="B37" s="7" t="s">
        <v>55</v>
      </c>
      <c r="C37" s="38">
        <f>C32/C39</f>
        <v>9.6642286762782536E-4</v>
      </c>
      <c r="D37" s="47" t="s">
        <v>120</v>
      </c>
    </row>
    <row r="38" spans="2:4" ht="15" customHeight="1" thickBot="1" x14ac:dyDescent="0.25">
      <c r="B38" s="7"/>
      <c r="C38" s="38"/>
      <c r="D38" s="47"/>
    </row>
    <row r="39" spans="2:4" ht="15" customHeight="1" thickBot="1" x14ac:dyDescent="0.25">
      <c r="B39" s="7" t="s">
        <v>24</v>
      </c>
      <c r="C39" s="21">
        <v>116941.30934000001</v>
      </c>
      <c r="D39" s="47" t="s">
        <v>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4" workbookViewId="0">
      <selection activeCell="D35" sqref="D35:D37"/>
    </sheetView>
  </sheetViews>
  <sheetFormatPr defaultRowHeight="15" x14ac:dyDescent="0.25"/>
  <cols>
    <col min="2" max="2" width="35" style="18" customWidth="1"/>
    <col min="3" max="3" width="37.375" style="9" customWidth="1"/>
  </cols>
  <sheetData>
    <row r="1" spans="2:4" ht="16.5" x14ac:dyDescent="0.25">
      <c r="B1" s="20" t="s">
        <v>138</v>
      </c>
      <c r="C1" s="9" t="s">
        <v>139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0</v>
      </c>
      <c r="D6" s="47" t="s">
        <v>101</v>
      </c>
    </row>
    <row r="7" spans="2:4" ht="17.25" thickBot="1" x14ac:dyDescent="0.25">
      <c r="B7" s="7" t="s">
        <v>3</v>
      </c>
      <c r="C7" s="36">
        <v>8.4109761649999975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21">
        <v>0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26.25" thickBot="1" x14ac:dyDescent="0.25">
      <c r="B19" s="7" t="s">
        <v>12</v>
      </c>
      <c r="C19" s="21">
        <v>0</v>
      </c>
      <c r="D19" s="47" t="s">
        <v>108</v>
      </c>
    </row>
    <row r="20" spans="2:4" ht="26.25" thickBot="1" x14ac:dyDescent="0.25">
      <c r="B20" s="7" t="s">
        <v>13</v>
      </c>
      <c r="C20" s="21">
        <v>0</v>
      </c>
      <c r="D20" s="47" t="s">
        <v>109</v>
      </c>
    </row>
    <row r="21" spans="2:4" ht="26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36">
        <v>0.19306709420821916</v>
      </c>
      <c r="D23" s="47" t="s">
        <v>112</v>
      </c>
    </row>
    <row r="24" spans="2:4" ht="17.25" thickBot="1" x14ac:dyDescent="0.25">
      <c r="B24" s="7" t="s">
        <v>17</v>
      </c>
      <c r="C24" s="36">
        <v>4.8005206759939796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26"/>
      <c r="D27" s="48"/>
    </row>
    <row r="28" spans="2:4" ht="17.25" thickBot="1" x14ac:dyDescent="0.25">
      <c r="B28" s="16" t="s">
        <v>20</v>
      </c>
      <c r="C28" s="26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26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13.404563935202196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39" thickBot="1" x14ac:dyDescent="0.25">
      <c r="B35" s="7" t="s">
        <v>61</v>
      </c>
      <c r="C35" s="60">
        <f>(C14+C19+C20+C21+C22+C23+C24+C25+C26+C30)/(9077267/1000)</f>
        <v>5.5012018157031171E-4</v>
      </c>
      <c r="D35" s="55" t="s">
        <v>119</v>
      </c>
    </row>
    <row r="36" spans="2:4" ht="14.25" customHeight="1" x14ac:dyDescent="0.2">
      <c r="B36" s="5"/>
      <c r="C36" s="63"/>
      <c r="D36" s="64"/>
    </row>
    <row r="37" spans="2:4" ht="15" customHeight="1" thickBot="1" x14ac:dyDescent="0.25">
      <c r="B37" s="7"/>
      <c r="C37" s="61"/>
      <c r="D37" s="56"/>
    </row>
    <row r="38" spans="2:4" ht="39" thickBot="1" x14ac:dyDescent="0.25">
      <c r="B38" s="7" t="s">
        <v>55</v>
      </c>
      <c r="C38" s="27">
        <f>C32/C40</f>
        <v>4.6994697998941322E-3</v>
      </c>
      <c r="D38" s="47" t="s">
        <v>120</v>
      </c>
    </row>
    <row r="39" spans="2:4" ht="17.25" thickBot="1" x14ac:dyDescent="0.25">
      <c r="B39" s="7"/>
      <c r="C39" s="10"/>
      <c r="D39" s="47"/>
    </row>
    <row r="40" spans="2:4" ht="17.25" thickBot="1" x14ac:dyDescent="0.25">
      <c r="B40" s="7" t="s">
        <v>24</v>
      </c>
      <c r="C40" s="21">
        <v>2852.3566499999997</v>
      </c>
      <c r="D40" s="47" t="s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abSelected="1" workbookViewId="0">
      <selection activeCell="D35" sqref="D35:D37"/>
    </sheetView>
  </sheetViews>
  <sheetFormatPr defaultRowHeight="15" x14ac:dyDescent="0.25"/>
  <cols>
    <col min="2" max="2" width="42.25" style="18" customWidth="1"/>
    <col min="3" max="3" width="31.125" style="9" customWidth="1"/>
  </cols>
  <sheetData>
    <row r="1" spans="2:4" ht="16.5" x14ac:dyDescent="0.25">
      <c r="B1" s="20" t="s">
        <v>133</v>
      </c>
      <c r="C1" s="9" t="s">
        <v>132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0</v>
      </c>
      <c r="D6" s="47" t="s">
        <v>101</v>
      </c>
    </row>
    <row r="7" spans="2:4" ht="17.25" thickBot="1" x14ac:dyDescent="0.25">
      <c r="B7" s="7" t="s">
        <v>3</v>
      </c>
      <c r="C7" s="36">
        <v>85.930800000000019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21">
        <v>0</v>
      </c>
      <c r="D11" s="47" t="s">
        <v>104</v>
      </c>
    </row>
    <row r="12" spans="2:4" ht="17.25" thickBot="1" x14ac:dyDescent="0.25">
      <c r="B12" s="7"/>
      <c r="C12" s="10"/>
      <c r="D12" s="48"/>
    </row>
    <row r="13" spans="2:4" ht="17.25" thickBot="1" x14ac:dyDescent="0.25">
      <c r="B13" s="16" t="s">
        <v>7</v>
      </c>
      <c r="C13" s="10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10"/>
      <c r="D17" s="47"/>
    </row>
    <row r="18" spans="2:4" ht="17.25" thickBot="1" x14ac:dyDescent="0.25">
      <c r="B18" s="16" t="s">
        <v>11</v>
      </c>
      <c r="C18" s="10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36">
        <v>102.69561560750682</v>
      </c>
      <c r="D23" s="47" t="s">
        <v>112</v>
      </c>
    </row>
    <row r="24" spans="2:4" ht="17.25" thickBot="1" x14ac:dyDescent="0.25">
      <c r="B24" s="7" t="s">
        <v>17</v>
      </c>
      <c r="C24" s="36">
        <v>173.34868327781803</v>
      </c>
      <c r="D24" s="47" t="s">
        <v>113</v>
      </c>
    </row>
    <row r="25" spans="2:4" ht="17.25" thickBot="1" x14ac:dyDescent="0.25">
      <c r="B25" s="7" t="s">
        <v>18</v>
      </c>
      <c r="C25" s="36">
        <v>12.898573390004248</v>
      </c>
      <c r="D25" s="47" t="s">
        <v>114</v>
      </c>
    </row>
    <row r="26" spans="2:4" ht="17.25" thickBot="1" x14ac:dyDescent="0.25">
      <c r="B26" s="7" t="s">
        <v>19</v>
      </c>
      <c r="C26" s="36">
        <v>0.26709730568387113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375.14076958101299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2"/>
      <c r="D34" s="47"/>
    </row>
    <row r="35" spans="2:4" ht="26.25" thickBot="1" x14ac:dyDescent="0.25">
      <c r="B35" s="7" t="s">
        <v>61</v>
      </c>
      <c r="C35" s="60">
        <f>(C14+C19+C20+C21+C22+C23+C24+C25+C26+C30)/(203534378/1000)</f>
        <v>1.4209391672448228E-3</v>
      </c>
      <c r="D35" s="55" t="s">
        <v>119</v>
      </c>
    </row>
    <row r="36" spans="2:4" ht="14.25" customHeight="1" x14ac:dyDescent="0.2">
      <c r="B36" s="5"/>
      <c r="C36" s="63"/>
      <c r="D36" s="64"/>
    </row>
    <row r="37" spans="2:4" ht="15" customHeight="1" thickBot="1" x14ac:dyDescent="0.25">
      <c r="B37" s="7"/>
      <c r="C37" s="61"/>
      <c r="D37" s="56"/>
    </row>
    <row r="38" spans="2:4" ht="26.25" thickBot="1" x14ac:dyDescent="0.25">
      <c r="B38" s="7" t="s">
        <v>55</v>
      </c>
      <c r="C38" s="27">
        <f>C32/C40</f>
        <v>2.5131744583938853E-3</v>
      </c>
      <c r="D38" s="47" t="s">
        <v>120</v>
      </c>
    </row>
    <row r="39" spans="2:4" ht="17.25" thickBot="1" x14ac:dyDescent="0.25">
      <c r="B39" s="7"/>
      <c r="C39" s="10"/>
      <c r="D39" s="47"/>
    </row>
    <row r="40" spans="2:4" ht="17.25" thickBot="1" x14ac:dyDescent="0.25">
      <c r="B40" s="7" t="s">
        <v>24</v>
      </c>
      <c r="C40" s="21">
        <v>149269.68891</v>
      </c>
      <c r="D40" s="47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1"/>
  <sheetViews>
    <sheetView rightToLeft="1" topLeftCell="A27" workbookViewId="0">
      <selection activeCell="C47" sqref="C47"/>
    </sheetView>
  </sheetViews>
  <sheetFormatPr defaultColWidth="37.25" defaultRowHeight="15" x14ac:dyDescent="0.25"/>
  <cols>
    <col min="1" max="1" width="10.375" customWidth="1"/>
    <col min="2" max="2" width="45.75" style="13" customWidth="1"/>
    <col min="3" max="3" width="25.875" style="24" customWidth="1"/>
  </cols>
  <sheetData>
    <row r="1" spans="2:4" ht="16.5" x14ac:dyDescent="0.25">
      <c r="B1" s="20" t="s">
        <v>57</v>
      </c>
    </row>
    <row r="2" spans="2:4" x14ac:dyDescent="0.25">
      <c r="B2" s="19" t="s">
        <v>58</v>
      </c>
    </row>
    <row r="3" spans="2:4" ht="15.75" thickBot="1" x14ac:dyDescent="0.3">
      <c r="B3" s="1" t="s">
        <v>77</v>
      </c>
    </row>
    <row r="4" spans="2:4" thickBot="1" x14ac:dyDescent="0.25">
      <c r="B4" s="3"/>
      <c r="C4" s="25" t="s">
        <v>0</v>
      </c>
    </row>
    <row r="5" spans="2:4" ht="17.25" thickBot="1" x14ac:dyDescent="0.25">
      <c r="B5" s="4" t="s">
        <v>25</v>
      </c>
      <c r="C5" s="26"/>
    </row>
    <row r="6" spans="2:4" ht="17.25" thickBot="1" x14ac:dyDescent="0.25">
      <c r="B6" s="4" t="s">
        <v>26</v>
      </c>
      <c r="C6" s="26"/>
    </row>
    <row r="7" spans="2:4" ht="17.25" thickBot="1" x14ac:dyDescent="0.25">
      <c r="B7" s="14" t="s">
        <v>83</v>
      </c>
      <c r="C7" s="36">
        <v>702</v>
      </c>
      <c r="D7" s="31"/>
    </row>
    <row r="8" spans="2:4" ht="17.25" thickBot="1" x14ac:dyDescent="0.25">
      <c r="B8" s="4" t="s">
        <v>27</v>
      </c>
      <c r="C8" s="26"/>
    </row>
    <row r="9" spans="2:4" ht="16.5" customHeight="1" thickBot="1" x14ac:dyDescent="0.25">
      <c r="B9" s="14" t="s">
        <v>62</v>
      </c>
      <c r="C9" s="36">
        <v>218.96249529649998</v>
      </c>
      <c r="D9" s="31"/>
    </row>
    <row r="10" spans="2:4" ht="16.5" customHeight="1" thickBot="1" x14ac:dyDescent="0.25">
      <c r="B10" s="14" t="s">
        <v>65</v>
      </c>
      <c r="C10" s="36">
        <v>157.38599526864641</v>
      </c>
      <c r="D10" s="30"/>
    </row>
    <row r="11" spans="2:4" ht="16.5" customHeight="1" thickBot="1" x14ac:dyDescent="0.25">
      <c r="B11" s="14" t="s">
        <v>76</v>
      </c>
      <c r="C11" s="36">
        <v>226.857811970987</v>
      </c>
      <c r="D11" s="30"/>
    </row>
    <row r="12" spans="2:4" ht="16.5" customHeight="1" thickBot="1" x14ac:dyDescent="0.25">
      <c r="B12" s="14" t="s">
        <v>99</v>
      </c>
      <c r="C12" s="36">
        <v>135.64984032705399</v>
      </c>
      <c r="D12" s="30"/>
    </row>
    <row r="13" spans="2:4" ht="16.5" customHeight="1" thickBot="1" x14ac:dyDescent="0.25">
      <c r="B13" s="14" t="s">
        <v>84</v>
      </c>
      <c r="C13" s="36">
        <v>3092</v>
      </c>
      <c r="D13" s="43"/>
    </row>
    <row r="14" spans="2:4" ht="16.5" customHeight="1" thickBot="1" x14ac:dyDescent="0.25">
      <c r="B14" s="14"/>
      <c r="C14" s="36"/>
      <c r="D14" s="30"/>
    </row>
    <row r="15" spans="2:4" ht="16.5" customHeight="1" thickBot="1" x14ac:dyDescent="0.25">
      <c r="B15" s="14"/>
      <c r="C15" s="36"/>
      <c r="D15" s="30"/>
    </row>
    <row r="16" spans="2:4" ht="15.75" customHeight="1" thickBot="1" x14ac:dyDescent="0.25">
      <c r="B16" s="7" t="s">
        <v>74</v>
      </c>
      <c r="C16" s="36">
        <v>183</v>
      </c>
      <c r="D16" s="30"/>
    </row>
    <row r="17" spans="2:5" ht="17.25" thickBot="1" x14ac:dyDescent="0.25">
      <c r="B17" s="4" t="s">
        <v>28</v>
      </c>
      <c r="C17" s="36">
        <f>C16+C15+C14+C13+C12+C11+C10+C9+C7</f>
        <v>4715.8561428631874</v>
      </c>
      <c r="D17" s="30"/>
      <c r="E17" s="23"/>
    </row>
    <row r="18" spans="2:5" ht="17.25" thickBot="1" x14ac:dyDescent="0.25">
      <c r="B18" s="16"/>
      <c r="C18" s="26"/>
    </row>
    <row r="19" spans="2:5" ht="17.25" thickBot="1" x14ac:dyDescent="0.25">
      <c r="B19" s="4" t="s">
        <v>29</v>
      </c>
      <c r="C19" s="26"/>
    </row>
    <row r="20" spans="2:5" ht="17.25" thickBot="1" x14ac:dyDescent="0.25">
      <c r="B20" s="4" t="s">
        <v>26</v>
      </c>
      <c r="C20" s="26"/>
    </row>
    <row r="21" spans="2:5" ht="17.25" thickBot="1" x14ac:dyDescent="0.25">
      <c r="B21" s="4" t="s">
        <v>27</v>
      </c>
      <c r="C21" s="26"/>
    </row>
    <row r="22" spans="2:5" ht="17.25" thickBot="1" x14ac:dyDescent="0.25">
      <c r="B22" s="7" t="s">
        <v>84</v>
      </c>
      <c r="C22" s="21">
        <f>'נספח 1'!C11</f>
        <v>855.49237000000107</v>
      </c>
    </row>
    <row r="23" spans="2:5" ht="15" customHeight="1" thickBot="1" x14ac:dyDescent="0.25">
      <c r="B23" s="6"/>
      <c r="C23" s="6"/>
    </row>
    <row r="24" spans="2:5" ht="17.25" thickBot="1" x14ac:dyDescent="0.25">
      <c r="B24" s="4" t="s">
        <v>30</v>
      </c>
      <c r="C24" s="21">
        <f>C22</f>
        <v>855.49237000000107</v>
      </c>
    </row>
    <row r="25" spans="2:5" ht="17.25" thickBot="1" x14ac:dyDescent="0.25">
      <c r="B25" s="7"/>
      <c r="C25" s="26"/>
    </row>
    <row r="26" spans="2:5" ht="17.25" thickBot="1" x14ac:dyDescent="0.25">
      <c r="B26" s="4" t="s">
        <v>31</v>
      </c>
      <c r="C26" s="26"/>
    </row>
    <row r="27" spans="2:5" ht="17.25" thickBot="1" x14ac:dyDescent="0.25">
      <c r="B27" s="4" t="s">
        <v>32</v>
      </c>
      <c r="C27" s="21">
        <f>'נספח 1'!C14</f>
        <v>103.72994999999999</v>
      </c>
    </row>
    <row r="28" spans="2:5" ht="17.25" thickBot="1" x14ac:dyDescent="0.25">
      <c r="B28" s="4"/>
      <c r="C28" s="26"/>
    </row>
    <row r="29" spans="2:5" ht="17.25" thickBot="1" x14ac:dyDescent="0.25">
      <c r="B29" s="4" t="s">
        <v>33</v>
      </c>
      <c r="C29" s="26"/>
    </row>
    <row r="30" spans="2:5" ht="17.25" thickBot="1" x14ac:dyDescent="0.25">
      <c r="B30" s="15" t="s">
        <v>59</v>
      </c>
      <c r="C30" s="36">
        <f>'נספח 1'!C16</f>
        <v>136.10400000000001</v>
      </c>
      <c r="D30" s="30"/>
    </row>
    <row r="31" spans="2:5" ht="17.25" thickBot="1" x14ac:dyDescent="0.25">
      <c r="B31" s="4" t="s">
        <v>34</v>
      </c>
      <c r="C31" s="36">
        <f>C30</f>
        <v>136.10400000000001</v>
      </c>
    </row>
    <row r="32" spans="2:5" ht="17.25" thickBot="1" x14ac:dyDescent="0.25">
      <c r="B32" s="7"/>
      <c r="C32" s="26"/>
    </row>
    <row r="33" spans="2:3" ht="17.25" thickBot="1" x14ac:dyDescent="0.25">
      <c r="B33" s="4" t="s">
        <v>35</v>
      </c>
      <c r="C33" s="26"/>
    </row>
    <row r="34" spans="2:3" ht="17.25" thickBot="1" x14ac:dyDescent="0.25">
      <c r="B34" s="14" t="s">
        <v>60</v>
      </c>
      <c r="C34" s="22">
        <v>0</v>
      </c>
    </row>
    <row r="35" spans="2:3" ht="17.25" thickBot="1" x14ac:dyDescent="0.25">
      <c r="B35" s="4" t="s">
        <v>36</v>
      </c>
      <c r="C35" s="26">
        <v>0</v>
      </c>
    </row>
    <row r="36" spans="2:3" ht="17.25" thickBot="1" x14ac:dyDescent="0.25">
      <c r="B36" s="7"/>
      <c r="C36" s="26"/>
    </row>
    <row r="37" spans="2:3" ht="17.25" thickBot="1" x14ac:dyDescent="0.25">
      <c r="B37" s="4" t="s">
        <v>37</v>
      </c>
      <c r="C37" s="26"/>
    </row>
    <row r="38" spans="2:3" ht="17.25" thickBot="1" x14ac:dyDescent="0.25">
      <c r="B38" s="4" t="s">
        <v>38</v>
      </c>
      <c r="C38" s="22">
        <v>0</v>
      </c>
    </row>
    <row r="39" spans="2:3" ht="17.25" thickBot="1" x14ac:dyDescent="0.25">
      <c r="B39" s="7"/>
      <c r="C39" s="26"/>
    </row>
    <row r="40" spans="2:3" ht="17.25" thickBot="1" x14ac:dyDescent="0.25">
      <c r="B40" s="4" t="s">
        <v>39</v>
      </c>
      <c r="C40" s="21">
        <f>C31+C27+C24+C17</f>
        <v>5811.1824628631884</v>
      </c>
    </row>
    <row r="41" spans="2:3" ht="17.25" thickBot="1" x14ac:dyDescent="0.25">
      <c r="B41" s="4" t="s">
        <v>40</v>
      </c>
      <c r="C41" s="21">
        <f>'נספח 1'!C38</f>
        <v>10277127.273259999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rightToLeft="1" topLeftCell="A12" workbookViewId="0">
      <selection activeCell="B23" sqref="B23:B24"/>
    </sheetView>
  </sheetViews>
  <sheetFormatPr defaultColWidth="28.875" defaultRowHeight="15" x14ac:dyDescent="0.25"/>
  <cols>
    <col min="1" max="1" width="42.625" style="13" customWidth="1"/>
    <col min="2" max="2" width="22.25" style="9" customWidth="1"/>
  </cols>
  <sheetData>
    <row r="1" spans="1:3" ht="16.5" x14ac:dyDescent="0.25">
      <c r="A1" s="20" t="s">
        <v>57</v>
      </c>
    </row>
    <row r="2" spans="1:3" x14ac:dyDescent="0.25">
      <c r="A2" s="19" t="s">
        <v>58</v>
      </c>
    </row>
    <row r="3" spans="1:3" ht="15.75" thickBot="1" x14ac:dyDescent="0.3">
      <c r="A3" s="1" t="s">
        <v>82</v>
      </c>
    </row>
    <row r="4" spans="1:3" thickBot="1" x14ac:dyDescent="0.25">
      <c r="A4" s="3"/>
      <c r="B4" s="2" t="s">
        <v>0</v>
      </c>
    </row>
    <row r="5" spans="1:3" ht="18" customHeight="1" thickBot="1" x14ac:dyDescent="0.25">
      <c r="A5" s="4" t="s">
        <v>63</v>
      </c>
      <c r="B5" s="10"/>
    </row>
    <row r="6" spans="1:3" ht="18" customHeight="1" thickBot="1" x14ac:dyDescent="0.25">
      <c r="A6" s="14" t="s">
        <v>67</v>
      </c>
      <c r="B6" s="36">
        <v>1026.27655</v>
      </c>
      <c r="C6" s="30"/>
    </row>
    <row r="7" spans="1:3" ht="15.75" customHeight="1" thickBot="1" x14ac:dyDescent="0.25">
      <c r="A7" s="14" t="s">
        <v>73</v>
      </c>
      <c r="B7" s="36">
        <v>8583.9357990445114</v>
      </c>
      <c r="C7" s="30"/>
    </row>
    <row r="8" spans="1:3" ht="15.75" customHeight="1" thickBot="1" x14ac:dyDescent="0.25">
      <c r="A8" s="4" t="s">
        <v>64</v>
      </c>
      <c r="B8" s="26"/>
      <c r="C8" s="30"/>
    </row>
    <row r="9" spans="1:3" ht="15.75" customHeight="1" thickBot="1" x14ac:dyDescent="0.25">
      <c r="A9" s="14" t="s">
        <v>68</v>
      </c>
      <c r="B9" s="36">
        <v>306.53470750000008</v>
      </c>
      <c r="C9" s="30"/>
    </row>
    <row r="10" spans="1:3" ht="15.75" customHeight="1" thickBot="1" x14ac:dyDescent="0.25">
      <c r="A10" s="14" t="s">
        <v>69</v>
      </c>
      <c r="B10" s="36">
        <v>287.12118468061641</v>
      </c>
      <c r="C10" s="30"/>
    </row>
    <row r="11" spans="1:3" ht="15.75" customHeight="1" thickBot="1" x14ac:dyDescent="0.25">
      <c r="A11" s="14" t="s">
        <v>70</v>
      </c>
      <c r="B11" s="36">
        <v>270.95425</v>
      </c>
      <c r="C11" s="30"/>
    </row>
    <row r="12" spans="1:3" ht="15.75" customHeight="1" thickBot="1" x14ac:dyDescent="0.25">
      <c r="A12" s="14" t="s">
        <v>71</v>
      </c>
      <c r="B12" s="36">
        <v>372.20728124999999</v>
      </c>
      <c r="C12" s="30"/>
    </row>
    <row r="13" spans="1:3" ht="15.75" customHeight="1" thickBot="1" x14ac:dyDescent="0.25">
      <c r="A13" s="14" t="s">
        <v>72</v>
      </c>
      <c r="B13" s="36">
        <v>674</v>
      </c>
      <c r="C13" s="30"/>
    </row>
    <row r="14" spans="1:3" ht="15.75" customHeight="1" thickBot="1" x14ac:dyDescent="0.25">
      <c r="A14" s="7" t="s">
        <v>74</v>
      </c>
      <c r="B14" s="36">
        <v>867.76220498091027</v>
      </c>
      <c r="C14" s="30"/>
    </row>
    <row r="15" spans="1:3" ht="17.25" thickBot="1" x14ac:dyDescent="0.25">
      <c r="A15" s="4" t="s">
        <v>41</v>
      </c>
      <c r="B15" s="36">
        <f>B14+B13+B12+B11+B10+B9+B7+B6</f>
        <v>12388.791977456038</v>
      </c>
      <c r="C15" s="30"/>
    </row>
    <row r="16" spans="1:3" ht="17.25" thickBot="1" x14ac:dyDescent="0.25">
      <c r="A16" s="7"/>
      <c r="B16" s="26"/>
    </row>
    <row r="17" spans="1:3" ht="17.25" thickBot="1" x14ac:dyDescent="0.25">
      <c r="A17" s="4" t="s">
        <v>42</v>
      </c>
      <c r="B17" s="26"/>
    </row>
    <row r="18" spans="1:3" ht="17.25" thickBot="1" x14ac:dyDescent="0.25">
      <c r="A18" s="4" t="s">
        <v>43</v>
      </c>
      <c r="B18" s="36">
        <v>0</v>
      </c>
    </row>
    <row r="19" spans="1:3" ht="17.25" thickBot="1" x14ac:dyDescent="0.25">
      <c r="A19" s="7"/>
      <c r="B19" s="26"/>
    </row>
    <row r="20" spans="1:3" ht="17.25" thickBot="1" x14ac:dyDescent="0.25">
      <c r="A20" s="4" t="s">
        <v>44</v>
      </c>
      <c r="B20" s="26"/>
    </row>
    <row r="21" spans="1:3" ht="17.25" thickBot="1" x14ac:dyDescent="0.25">
      <c r="A21" s="4" t="s">
        <v>45</v>
      </c>
      <c r="B21" s="26"/>
    </row>
    <row r="22" spans="1:3" ht="17.25" thickBot="1" x14ac:dyDescent="0.25">
      <c r="A22" s="7"/>
      <c r="B22" s="26"/>
    </row>
    <row r="23" spans="1:3" ht="14.25" customHeight="1" x14ac:dyDescent="0.2">
      <c r="A23" s="8" t="s">
        <v>46</v>
      </c>
      <c r="B23" s="57"/>
    </row>
    <row r="24" spans="1:3" ht="15" customHeight="1" thickBot="1" x14ac:dyDescent="0.25">
      <c r="A24" s="4" t="s">
        <v>47</v>
      </c>
      <c r="B24" s="58"/>
    </row>
    <row r="25" spans="1:3" ht="17.25" thickBot="1" x14ac:dyDescent="0.25">
      <c r="A25" s="4" t="s">
        <v>87</v>
      </c>
      <c r="B25" s="36">
        <v>4.988147410726028</v>
      </c>
    </row>
    <row r="26" spans="1:3" ht="17.25" thickBot="1" x14ac:dyDescent="0.25">
      <c r="A26" s="4" t="s">
        <v>88</v>
      </c>
      <c r="B26" s="36">
        <v>7.9104259792782194</v>
      </c>
    </row>
    <row r="27" spans="1:3" ht="17.25" thickBot="1" x14ac:dyDescent="0.25">
      <c r="A27" s="4" t="s">
        <v>48</v>
      </c>
      <c r="B27" s="26"/>
    </row>
    <row r="28" spans="1:3" ht="17.25" thickBot="1" x14ac:dyDescent="0.25">
      <c r="A28" s="14" t="s">
        <v>91</v>
      </c>
      <c r="B28" s="36">
        <v>60.328705593750563</v>
      </c>
      <c r="C28" s="30"/>
    </row>
    <row r="29" spans="1:3" ht="17.25" thickBot="1" x14ac:dyDescent="0.25">
      <c r="A29" s="14" t="s">
        <v>92</v>
      </c>
      <c r="B29" s="36">
        <v>212.84362481875073</v>
      </c>
      <c r="C29" s="30"/>
    </row>
    <row r="30" spans="1:3" ht="17.25" thickBot="1" x14ac:dyDescent="0.25">
      <c r="A30" s="14" t="s">
        <v>93</v>
      </c>
      <c r="B30" s="36">
        <v>178.4625138243434</v>
      </c>
      <c r="C30" s="30"/>
    </row>
    <row r="31" spans="1:3" ht="17.25" thickBot="1" x14ac:dyDescent="0.25">
      <c r="A31" s="14" t="s">
        <v>85</v>
      </c>
      <c r="B31" s="36">
        <v>241.7185848971524</v>
      </c>
      <c r="C31" s="30"/>
    </row>
    <row r="32" spans="1:3" ht="17.25" thickBot="1" x14ac:dyDescent="0.25">
      <c r="A32" s="14" t="s">
        <v>94</v>
      </c>
      <c r="B32" s="36">
        <v>165.97235601273698</v>
      </c>
      <c r="C32" s="30"/>
    </row>
    <row r="33" spans="1:3" ht="17.25" thickBot="1" x14ac:dyDescent="0.25">
      <c r="A33" s="14" t="s">
        <v>95</v>
      </c>
      <c r="B33" s="36">
        <v>87.379029707668849</v>
      </c>
      <c r="C33" s="30"/>
    </row>
    <row r="34" spans="1:3" ht="17.25" thickBot="1" x14ac:dyDescent="0.25">
      <c r="A34" s="14" t="s">
        <v>86</v>
      </c>
      <c r="B34" s="36">
        <v>293.16868408856118</v>
      </c>
      <c r="C34" s="30"/>
    </row>
    <row r="35" spans="1:3" ht="17.25" thickBot="1" x14ac:dyDescent="0.25">
      <c r="A35" s="14" t="s">
        <v>96</v>
      </c>
      <c r="B35" s="36">
        <v>186.94793801753616</v>
      </c>
      <c r="C35" s="30"/>
    </row>
    <row r="36" spans="1:3" ht="17.25" thickBot="1" x14ac:dyDescent="0.25">
      <c r="A36" s="14" t="s">
        <v>56</v>
      </c>
      <c r="B36" s="36">
        <v>75.973095336790848</v>
      </c>
      <c r="C36" s="30"/>
    </row>
    <row r="37" spans="1:3" ht="17.25" thickBot="1" x14ac:dyDescent="0.25">
      <c r="A37" s="4" t="s">
        <v>49</v>
      </c>
      <c r="B37" s="36">
        <f>SUM(B28:B36)+B26+B25</f>
        <v>1515.6931056872954</v>
      </c>
    </row>
    <row r="38" spans="1:3" ht="17.25" thickBot="1" x14ac:dyDescent="0.25">
      <c r="A38" s="7"/>
      <c r="B38" s="26"/>
      <c r="C38" s="30"/>
    </row>
    <row r="39" spans="1:3" ht="17.25" thickBot="1" x14ac:dyDescent="0.25">
      <c r="A39" s="4" t="s">
        <v>50</v>
      </c>
      <c r="B39" s="26"/>
      <c r="C39" s="30"/>
    </row>
    <row r="40" spans="1:3" ht="17.25" thickBot="1" x14ac:dyDescent="0.25">
      <c r="A40" s="4" t="s">
        <v>51</v>
      </c>
      <c r="B40" s="26"/>
      <c r="C40" s="30"/>
    </row>
    <row r="41" spans="1:3" ht="17.25" thickBot="1" x14ac:dyDescent="0.25">
      <c r="A41" s="14" t="s">
        <v>89</v>
      </c>
      <c r="B41" s="36">
        <v>68.145400576989033</v>
      </c>
      <c r="C41" s="30"/>
    </row>
    <row r="42" spans="1:3" ht="17.25" thickBot="1" x14ac:dyDescent="0.25">
      <c r="A42" s="14" t="s">
        <v>90</v>
      </c>
      <c r="B42" s="36">
        <v>14.982172572249313</v>
      </c>
      <c r="C42" s="30"/>
    </row>
    <row r="43" spans="1:3" ht="17.25" thickBot="1" x14ac:dyDescent="0.25">
      <c r="A43" s="14" t="s">
        <v>56</v>
      </c>
      <c r="B43" s="36">
        <v>-191.45759984464678</v>
      </c>
      <c r="C43" s="30"/>
    </row>
    <row r="44" spans="1:3" ht="17.25" thickBot="1" x14ac:dyDescent="0.25">
      <c r="A44" s="4" t="s">
        <v>52</v>
      </c>
      <c r="B44" s="26"/>
      <c r="C44" s="30"/>
    </row>
    <row r="45" spans="1:3" ht="17.25" thickBot="1" x14ac:dyDescent="0.25">
      <c r="A45" s="14" t="s">
        <v>97</v>
      </c>
      <c r="B45" s="36">
        <v>41.764460702197333</v>
      </c>
    </row>
    <row r="46" spans="1:3" ht="17.25" thickBot="1" x14ac:dyDescent="0.25">
      <c r="A46" s="14" t="s">
        <v>75</v>
      </c>
      <c r="B46" s="36">
        <v>42.426408206514736</v>
      </c>
      <c r="C46" s="30"/>
    </row>
    <row r="47" spans="1:3" ht="17.25" thickBot="1" x14ac:dyDescent="0.25">
      <c r="A47" s="14" t="s">
        <v>98</v>
      </c>
      <c r="B47" s="36">
        <v>225.31442196044338</v>
      </c>
      <c r="C47" s="30"/>
    </row>
    <row r="48" spans="1:3" ht="17.25" thickBot="1" x14ac:dyDescent="0.25">
      <c r="A48" s="14" t="s">
        <v>56</v>
      </c>
      <c r="B48" s="21">
        <v>0</v>
      </c>
      <c r="C48" s="30"/>
    </row>
    <row r="49" spans="1:4" ht="17.25" thickBot="1" x14ac:dyDescent="0.25">
      <c r="A49" s="4" t="s">
        <v>66</v>
      </c>
      <c r="B49" s="36">
        <f>B41+B42+B43+B45+B46+B47</f>
        <v>201.17526417374702</v>
      </c>
      <c r="C49" s="30"/>
    </row>
    <row r="50" spans="1:4" ht="17.25" thickBot="1" x14ac:dyDescent="0.25">
      <c r="A50" s="4" t="s">
        <v>53</v>
      </c>
      <c r="B50" s="21">
        <f>B49+B37+B15</f>
        <v>14105.66034731708</v>
      </c>
      <c r="C50" s="23"/>
      <c r="D50" s="23"/>
    </row>
    <row r="51" spans="1:4" ht="17.25" thickBot="1" x14ac:dyDescent="0.25">
      <c r="A51" s="4" t="s">
        <v>40</v>
      </c>
      <c r="B51" s="21">
        <f>'נספח 1'!C38</f>
        <v>10277127.273259999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20" workbookViewId="0">
      <selection activeCell="C35" sqref="C35"/>
    </sheetView>
  </sheetViews>
  <sheetFormatPr defaultRowHeight="15" x14ac:dyDescent="0.25"/>
  <cols>
    <col min="2" max="2" width="47.25" style="18" customWidth="1"/>
    <col min="3" max="3" width="32.875" style="9" customWidth="1"/>
  </cols>
  <sheetData>
    <row r="1" spans="2:4" ht="16.5" x14ac:dyDescent="0.25">
      <c r="B1" s="20" t="s">
        <v>140</v>
      </c>
      <c r="C1" s="9" t="s">
        <v>141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370.64323917538013</v>
      </c>
      <c r="D6" s="47" t="s">
        <v>101</v>
      </c>
    </row>
    <row r="7" spans="2:4" ht="17.25" thickBot="1" x14ac:dyDescent="0.25">
      <c r="B7" s="7" t="s">
        <v>3</v>
      </c>
      <c r="C7" s="36">
        <v>1924.2598321298638</v>
      </c>
      <c r="D7" s="47" t="s">
        <v>102</v>
      </c>
    </row>
    <row r="8" spans="2:4" ht="17.25" thickBot="1" x14ac:dyDescent="0.25">
      <c r="B8" s="7"/>
      <c r="C8" s="36"/>
      <c r="D8" s="47"/>
    </row>
    <row r="9" spans="2:4" ht="17.25" thickBot="1" x14ac:dyDescent="0.25">
      <c r="B9" s="16" t="s">
        <v>4</v>
      </c>
      <c r="C9" s="36"/>
      <c r="D9" s="47"/>
    </row>
    <row r="10" spans="2:4" ht="17.25" thickBot="1" x14ac:dyDescent="0.25">
      <c r="B10" s="7" t="s">
        <v>5</v>
      </c>
      <c r="C10" s="36">
        <v>0</v>
      </c>
      <c r="D10" s="47" t="s">
        <v>103</v>
      </c>
    </row>
    <row r="11" spans="2:4" ht="17.25" thickBot="1" x14ac:dyDescent="0.25">
      <c r="B11" s="7" t="s">
        <v>6</v>
      </c>
      <c r="C11" s="36">
        <v>444.12121000000093</v>
      </c>
      <c r="D11" s="47" t="s">
        <v>104</v>
      </c>
    </row>
    <row r="12" spans="2:4" ht="17.25" thickBot="1" x14ac:dyDescent="0.25">
      <c r="B12" s="7"/>
      <c r="C12" s="36"/>
      <c r="D12" s="48"/>
    </row>
    <row r="13" spans="2:4" ht="17.25" thickBot="1" x14ac:dyDescent="0.25">
      <c r="B13" s="16" t="s">
        <v>7</v>
      </c>
      <c r="C13" s="36"/>
      <c r="D13" s="47"/>
    </row>
    <row r="14" spans="2:4" ht="26.25" thickBot="1" x14ac:dyDescent="0.25">
      <c r="B14" s="7" t="s">
        <v>8</v>
      </c>
      <c r="C14" s="36">
        <v>31.3126</v>
      </c>
      <c r="D14" s="47" t="s">
        <v>105</v>
      </c>
    </row>
    <row r="15" spans="2:4" ht="17.25" thickBot="1" x14ac:dyDescent="0.25">
      <c r="B15" s="7" t="s">
        <v>9</v>
      </c>
      <c r="C15" s="36">
        <v>0</v>
      </c>
      <c r="D15" s="47" t="s">
        <v>106</v>
      </c>
    </row>
    <row r="16" spans="2:4" ht="17.25" thickBot="1" x14ac:dyDescent="0.25">
      <c r="B16" s="7" t="s">
        <v>10</v>
      </c>
      <c r="C16" s="36">
        <v>136.10400000000001</v>
      </c>
      <c r="D16" s="47" t="s">
        <v>107</v>
      </c>
    </row>
    <row r="17" spans="2:5" ht="17.25" thickBot="1" x14ac:dyDescent="0.25">
      <c r="B17" s="7"/>
      <c r="C17" s="36"/>
      <c r="D17" s="47"/>
    </row>
    <row r="18" spans="2:5" ht="17.25" thickBot="1" x14ac:dyDescent="0.25">
      <c r="B18" s="16" t="s">
        <v>11</v>
      </c>
      <c r="C18" s="36"/>
      <c r="D18" s="47"/>
    </row>
    <row r="19" spans="2:5" ht="17.25" thickBot="1" x14ac:dyDescent="0.25">
      <c r="B19" s="7" t="s">
        <v>12</v>
      </c>
      <c r="C19" s="36">
        <v>1689.7404360871797</v>
      </c>
      <c r="D19" s="47" t="s">
        <v>108</v>
      </c>
    </row>
    <row r="20" spans="2:5" ht="17.25" thickBot="1" x14ac:dyDescent="0.25">
      <c r="B20" s="7" t="s">
        <v>13</v>
      </c>
      <c r="C20" s="36">
        <v>5830.5250853884982</v>
      </c>
      <c r="D20" s="47" t="s">
        <v>109</v>
      </c>
    </row>
    <row r="21" spans="2:5" ht="17.25" thickBot="1" x14ac:dyDescent="0.25">
      <c r="B21" s="7" t="s">
        <v>14</v>
      </c>
      <c r="C21" s="36">
        <v>0</v>
      </c>
      <c r="D21" s="47" t="s">
        <v>110</v>
      </c>
    </row>
    <row r="22" spans="2:5" ht="17.25" thickBot="1" x14ac:dyDescent="0.25">
      <c r="B22" s="7" t="s">
        <v>15</v>
      </c>
      <c r="C22" s="36">
        <v>0</v>
      </c>
      <c r="D22" s="47" t="s">
        <v>111</v>
      </c>
    </row>
    <row r="23" spans="2:5" ht="17.25" thickBot="1" x14ac:dyDescent="0.3">
      <c r="B23" s="7" t="s">
        <v>16</v>
      </c>
      <c r="C23" s="49">
        <v>-192.4170877800548</v>
      </c>
      <c r="D23" s="47" t="s">
        <v>112</v>
      </c>
      <c r="E23" s="41"/>
    </row>
    <row r="24" spans="2:5" ht="17.25" thickBot="1" x14ac:dyDescent="0.25">
      <c r="B24" s="7" t="s">
        <v>17</v>
      </c>
      <c r="C24" s="36">
        <v>4.8040444171232872</v>
      </c>
      <c r="D24" s="47" t="s">
        <v>113</v>
      </c>
    </row>
    <row r="25" spans="2:5" ht="17.25" thickBot="1" x14ac:dyDescent="0.25">
      <c r="B25" s="7" t="s">
        <v>18</v>
      </c>
      <c r="C25" s="36">
        <v>0</v>
      </c>
      <c r="D25" s="47" t="s">
        <v>114</v>
      </c>
    </row>
    <row r="26" spans="2:5" ht="17.25" thickBot="1" x14ac:dyDescent="0.3">
      <c r="B26" s="7" t="s">
        <v>19</v>
      </c>
      <c r="C26" s="36">
        <v>991.00493576812732</v>
      </c>
      <c r="D26" s="47" t="s">
        <v>115</v>
      </c>
      <c r="E26" s="41"/>
    </row>
    <row r="27" spans="2:5" ht="17.25" thickBot="1" x14ac:dyDescent="0.25">
      <c r="B27" s="7"/>
      <c r="C27" s="36"/>
      <c r="D27" s="48"/>
    </row>
    <row r="28" spans="2:5" ht="17.25" thickBot="1" x14ac:dyDescent="0.25">
      <c r="B28" s="16" t="s">
        <v>20</v>
      </c>
      <c r="C28" s="26"/>
      <c r="D28" s="47"/>
    </row>
    <row r="29" spans="2:5" ht="17.25" thickBot="1" x14ac:dyDescent="0.25">
      <c r="B29" s="7" t="s">
        <v>21</v>
      </c>
      <c r="C29" s="21">
        <v>0</v>
      </c>
      <c r="D29" s="47" t="s">
        <v>116</v>
      </c>
    </row>
    <row r="30" spans="2:5" ht="17.25" thickBot="1" x14ac:dyDescent="0.25">
      <c r="B30" s="7" t="s">
        <v>22</v>
      </c>
      <c r="C30" s="21">
        <v>0</v>
      </c>
      <c r="D30" s="47" t="s">
        <v>117</v>
      </c>
    </row>
    <row r="31" spans="2:5" ht="17.25" thickBot="1" x14ac:dyDescent="0.25">
      <c r="B31" s="7"/>
      <c r="C31" s="26"/>
      <c r="D31" s="48"/>
    </row>
    <row r="32" spans="2:5" ht="17.25" thickBot="1" x14ac:dyDescent="0.25">
      <c r="B32" s="16" t="s">
        <v>54</v>
      </c>
      <c r="C32" s="21">
        <f>C6+C7+C10+C11+C14+C15+C16+C19+C20+C21+C22+C23+C24+C25+C26+C29+C30</f>
        <v>11230.098295186117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6.25" thickBot="1" x14ac:dyDescent="0.25">
      <c r="B35" s="7" t="s">
        <v>61</v>
      </c>
      <c r="C35" s="35">
        <f>(C14+C19+C20+C21+C22+C23+C24+C25+C26+C30)/(4007672152/1000)</f>
        <v>2.0847438854776049E-3</v>
      </c>
      <c r="D35" s="47" t="s">
        <v>119</v>
      </c>
    </row>
    <row r="36" spans="2:4" ht="26.25" thickBot="1" x14ac:dyDescent="0.25">
      <c r="B36" s="7" t="s">
        <v>55</v>
      </c>
      <c r="C36" s="37">
        <f>C32/C38</f>
        <v>2.6776589035500432E-3</v>
      </c>
      <c r="D36" s="47" t="s">
        <v>120</v>
      </c>
    </row>
    <row r="37" spans="2:4" ht="17.25" thickBot="1" x14ac:dyDescent="0.25">
      <c r="B37" s="7"/>
      <c r="C37" s="10"/>
      <c r="D37" s="47"/>
    </row>
    <row r="38" spans="2:4" ht="17.25" thickBot="1" x14ac:dyDescent="0.25">
      <c r="B38" s="7" t="s">
        <v>24</v>
      </c>
      <c r="C38" s="21">
        <v>4193998.82498</v>
      </c>
      <c r="D38" s="47" t="s">
        <v>121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17" workbookViewId="0">
      <selection activeCell="D35" sqref="D35"/>
    </sheetView>
  </sheetViews>
  <sheetFormatPr defaultRowHeight="15" x14ac:dyDescent="0.25"/>
  <cols>
    <col min="2" max="2" width="43.125" style="18" customWidth="1"/>
    <col min="3" max="3" width="30" style="9" customWidth="1"/>
  </cols>
  <sheetData>
    <row r="1" spans="2:4" ht="16.5" x14ac:dyDescent="0.25">
      <c r="B1" s="20" t="s">
        <v>78</v>
      </c>
      <c r="C1" s="9" t="s">
        <v>142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0</v>
      </c>
      <c r="D6" s="47" t="s">
        <v>101</v>
      </c>
    </row>
    <row r="7" spans="2:4" ht="17.25" thickBot="1" x14ac:dyDescent="0.25">
      <c r="B7" s="7" t="s">
        <v>3</v>
      </c>
      <c r="C7" s="36">
        <v>262.83387000000045</v>
      </c>
      <c r="D7" s="47" t="s">
        <v>102</v>
      </c>
    </row>
    <row r="8" spans="2:4" ht="17.25" thickBot="1" x14ac:dyDescent="0.25">
      <c r="B8" s="7"/>
      <c r="C8" s="36"/>
      <c r="D8" s="47"/>
    </row>
    <row r="9" spans="2:4" ht="17.25" thickBot="1" x14ac:dyDescent="0.25">
      <c r="B9" s="16" t="s">
        <v>4</v>
      </c>
      <c r="C9" s="36"/>
      <c r="D9" s="47"/>
    </row>
    <row r="10" spans="2:4" ht="17.25" thickBot="1" x14ac:dyDescent="0.25">
      <c r="B10" s="7" t="s">
        <v>5</v>
      </c>
      <c r="C10" s="36">
        <v>0</v>
      </c>
      <c r="D10" s="47" t="s">
        <v>103</v>
      </c>
    </row>
    <row r="11" spans="2:4" ht="17.25" thickBot="1" x14ac:dyDescent="0.25">
      <c r="B11" s="7" t="s">
        <v>6</v>
      </c>
      <c r="C11" s="36">
        <v>0</v>
      </c>
      <c r="D11" s="47" t="s">
        <v>104</v>
      </c>
    </row>
    <row r="12" spans="2:4" ht="17.25" thickBot="1" x14ac:dyDescent="0.25">
      <c r="B12" s="7"/>
      <c r="C12" s="50"/>
      <c r="D12" s="48"/>
    </row>
    <row r="13" spans="2:4" ht="17.25" thickBot="1" x14ac:dyDescent="0.25">
      <c r="B13" s="16" t="s">
        <v>7</v>
      </c>
      <c r="C13" s="50"/>
      <c r="D13" s="47"/>
    </row>
    <row r="14" spans="2:4" ht="26.25" thickBot="1" x14ac:dyDescent="0.25">
      <c r="B14" s="7" t="s">
        <v>8</v>
      </c>
      <c r="C14" s="36">
        <v>0</v>
      </c>
      <c r="D14" s="47" t="s">
        <v>105</v>
      </c>
    </row>
    <row r="15" spans="2:4" ht="17.25" thickBot="1" x14ac:dyDescent="0.25">
      <c r="B15" s="7" t="s">
        <v>9</v>
      </c>
      <c r="C15" s="36">
        <v>0</v>
      </c>
      <c r="D15" s="47" t="s">
        <v>106</v>
      </c>
    </row>
    <row r="16" spans="2:4" ht="17.25" thickBot="1" x14ac:dyDescent="0.25">
      <c r="B16" s="7" t="s">
        <v>10</v>
      </c>
      <c r="C16" s="36">
        <v>0</v>
      </c>
      <c r="D16" s="47" t="s">
        <v>107</v>
      </c>
    </row>
    <row r="17" spans="2:4" ht="17.25" thickBot="1" x14ac:dyDescent="0.25">
      <c r="B17" s="7"/>
      <c r="C17" s="50"/>
      <c r="D17" s="47"/>
    </row>
    <row r="18" spans="2:4" ht="17.25" thickBot="1" x14ac:dyDescent="0.25">
      <c r="B18" s="16" t="s">
        <v>11</v>
      </c>
      <c r="C18" s="50"/>
      <c r="D18" s="47"/>
    </row>
    <row r="19" spans="2:4" ht="17.25" thickBot="1" x14ac:dyDescent="0.25">
      <c r="B19" s="7" t="s">
        <v>12</v>
      </c>
      <c r="C19" s="36">
        <v>0</v>
      </c>
      <c r="D19" s="47" t="s">
        <v>108</v>
      </c>
    </row>
    <row r="20" spans="2:4" ht="17.25" thickBot="1" x14ac:dyDescent="0.25">
      <c r="B20" s="7" t="s">
        <v>13</v>
      </c>
      <c r="C20" s="36">
        <v>0</v>
      </c>
      <c r="D20" s="47" t="s">
        <v>109</v>
      </c>
    </row>
    <row r="21" spans="2:4" ht="17.25" thickBot="1" x14ac:dyDescent="0.25">
      <c r="B21" s="7" t="s">
        <v>14</v>
      </c>
      <c r="C21" s="36">
        <v>0</v>
      </c>
      <c r="D21" s="47" t="s">
        <v>110</v>
      </c>
    </row>
    <row r="22" spans="2:4" ht="17.25" thickBot="1" x14ac:dyDescent="0.25">
      <c r="B22" s="7" t="s">
        <v>15</v>
      </c>
      <c r="C22" s="36">
        <v>0</v>
      </c>
      <c r="D22" s="47" t="s">
        <v>111</v>
      </c>
    </row>
    <row r="23" spans="2:4" ht="17.25" thickBot="1" x14ac:dyDescent="0.25">
      <c r="B23" s="7" t="s">
        <v>16</v>
      </c>
      <c r="C23" s="36">
        <v>22.284913528379459</v>
      </c>
      <c r="D23" s="47" t="s">
        <v>112</v>
      </c>
    </row>
    <row r="24" spans="2:4" ht="17.25" thickBot="1" x14ac:dyDescent="0.25">
      <c r="B24" s="7" t="s">
        <v>17</v>
      </c>
      <c r="C24" s="36">
        <v>123.86334119940479</v>
      </c>
      <c r="D24" s="47" t="s">
        <v>113</v>
      </c>
    </row>
    <row r="25" spans="2:4" ht="17.25" thickBot="1" x14ac:dyDescent="0.25">
      <c r="B25" s="7" t="s">
        <v>18</v>
      </c>
      <c r="C25" s="36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408.98212472778465</v>
      </c>
      <c r="D32" s="47" t="s">
        <v>118</v>
      </c>
    </row>
    <row r="33" spans="2:4" ht="17.25" thickBot="1" x14ac:dyDescent="0.25">
      <c r="B33" s="16" t="s">
        <v>23</v>
      </c>
      <c r="C33" s="10"/>
      <c r="D33" s="47"/>
    </row>
    <row r="34" spans="2:4" ht="26.25" thickBot="1" x14ac:dyDescent="0.25">
      <c r="B34" s="7" t="s">
        <v>61</v>
      </c>
      <c r="C34" s="60">
        <f>(C14+C19+C20+C21+C22+C23+C24+C25+C26+C30)/(822487738/1000)</f>
        <v>1.776904967400064E-4</v>
      </c>
      <c r="D34" s="54" t="s">
        <v>119</v>
      </c>
    </row>
    <row r="35" spans="2:4" ht="14.25" customHeight="1" thickBot="1" x14ac:dyDescent="0.25">
      <c r="B35" s="5"/>
      <c r="C35" s="61"/>
      <c r="D35" s="47"/>
    </row>
    <row r="36" spans="2:4" ht="26.25" thickBot="1" x14ac:dyDescent="0.25">
      <c r="B36" s="7" t="s">
        <v>55</v>
      </c>
      <c r="C36" s="27">
        <f>C32/C38</f>
        <v>1.1351857266208097E-3</v>
      </c>
      <c r="D36" s="47" t="s">
        <v>120</v>
      </c>
    </row>
    <row r="37" spans="2:4" ht="17.25" thickBot="1" x14ac:dyDescent="0.25">
      <c r="B37" s="7"/>
      <c r="C37" s="10"/>
      <c r="D37" s="47"/>
    </row>
    <row r="38" spans="2:4" ht="17.25" thickBot="1" x14ac:dyDescent="0.25">
      <c r="B38" s="7" t="s">
        <v>24</v>
      </c>
      <c r="C38" s="21">
        <v>360277.71944000002</v>
      </c>
      <c r="D38" s="47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rightToLeft="1" topLeftCell="A23" workbookViewId="0">
      <selection activeCell="C35" sqref="C35"/>
    </sheetView>
  </sheetViews>
  <sheetFormatPr defaultRowHeight="15" x14ac:dyDescent="0.25"/>
  <cols>
    <col min="2" max="2" width="37.875" style="18" customWidth="1"/>
    <col min="3" max="3" width="34.625" style="9" customWidth="1"/>
  </cols>
  <sheetData>
    <row r="1" spans="2:10" ht="16.5" x14ac:dyDescent="0.25">
      <c r="B1" s="20" t="s">
        <v>143</v>
      </c>
      <c r="C1" s="9" t="s">
        <v>144</v>
      </c>
    </row>
    <row r="2" spans="2:10" x14ac:dyDescent="0.25">
      <c r="B2" s="19"/>
    </row>
    <row r="3" spans="2:10" ht="15.75" thickBot="1" x14ac:dyDescent="0.3">
      <c r="B3" s="1" t="s">
        <v>77</v>
      </c>
    </row>
    <row r="4" spans="2:10" thickBot="1" x14ac:dyDescent="0.25">
      <c r="B4" s="3"/>
      <c r="C4" s="2" t="s">
        <v>0</v>
      </c>
      <c r="D4" s="45" t="s">
        <v>100</v>
      </c>
    </row>
    <row r="5" spans="2:10" ht="17.25" thickBot="1" x14ac:dyDescent="0.25">
      <c r="B5" s="16" t="s">
        <v>1</v>
      </c>
      <c r="C5" s="50"/>
      <c r="D5" s="46"/>
    </row>
    <row r="6" spans="2:10" ht="17.25" thickBot="1" x14ac:dyDescent="0.25">
      <c r="B6" s="7" t="s">
        <v>2</v>
      </c>
      <c r="C6" s="36">
        <v>11.9569041495</v>
      </c>
      <c r="D6" s="47" t="s">
        <v>101</v>
      </c>
    </row>
    <row r="7" spans="2:10" ht="17.25" thickBot="1" x14ac:dyDescent="0.25">
      <c r="B7" s="7" t="s">
        <v>3</v>
      </c>
      <c r="C7" s="36">
        <v>60.2826675775</v>
      </c>
      <c r="D7" s="47" t="s">
        <v>102</v>
      </c>
    </row>
    <row r="8" spans="2:10" ht="17.25" thickBot="1" x14ac:dyDescent="0.25">
      <c r="B8" s="7"/>
      <c r="C8" s="36"/>
      <c r="D8" s="47"/>
    </row>
    <row r="9" spans="2:10" ht="17.25" thickBot="1" x14ac:dyDescent="0.25">
      <c r="B9" s="16" t="s">
        <v>4</v>
      </c>
      <c r="C9" s="36"/>
      <c r="D9" s="47"/>
    </row>
    <row r="10" spans="2:10" ht="17.25" thickBot="1" x14ac:dyDescent="0.25">
      <c r="B10" s="7" t="s">
        <v>5</v>
      </c>
      <c r="C10" s="36">
        <v>0</v>
      </c>
      <c r="D10" s="47" t="s">
        <v>103</v>
      </c>
    </row>
    <row r="11" spans="2:10" ht="17.25" thickBot="1" x14ac:dyDescent="0.25">
      <c r="B11" s="7" t="s">
        <v>6</v>
      </c>
      <c r="C11" s="36">
        <v>11.572509999999998</v>
      </c>
      <c r="D11" s="47" t="s">
        <v>104</v>
      </c>
    </row>
    <row r="12" spans="2:10" ht="17.25" thickBot="1" x14ac:dyDescent="0.25">
      <c r="B12" s="7"/>
      <c r="C12" s="36"/>
      <c r="D12" s="48"/>
    </row>
    <row r="13" spans="2:10" ht="17.25" thickBot="1" x14ac:dyDescent="0.25">
      <c r="B13" s="16" t="s">
        <v>7</v>
      </c>
      <c r="C13" s="36"/>
      <c r="D13" s="47"/>
      <c r="J13" s="51"/>
    </row>
    <row r="14" spans="2:10" ht="26.25" thickBot="1" x14ac:dyDescent="0.25">
      <c r="B14" s="7" t="s">
        <v>8</v>
      </c>
      <c r="C14" s="36">
        <v>0</v>
      </c>
      <c r="D14" s="47" t="s">
        <v>105</v>
      </c>
    </row>
    <row r="15" spans="2:10" ht="17.25" thickBot="1" x14ac:dyDescent="0.25">
      <c r="B15" s="7" t="s">
        <v>9</v>
      </c>
      <c r="C15" s="36">
        <v>0</v>
      </c>
      <c r="D15" s="47" t="s">
        <v>106</v>
      </c>
    </row>
    <row r="16" spans="2:10" ht="17.25" thickBot="1" x14ac:dyDescent="0.25">
      <c r="B16" s="7" t="s">
        <v>10</v>
      </c>
      <c r="C16" s="36">
        <v>0</v>
      </c>
      <c r="D16" s="47" t="s">
        <v>107</v>
      </c>
    </row>
    <row r="17" spans="2:4" ht="17.25" thickBot="1" x14ac:dyDescent="0.25">
      <c r="B17" s="7"/>
      <c r="C17" s="36"/>
      <c r="D17" s="47"/>
    </row>
    <row r="18" spans="2:4" ht="17.25" thickBot="1" x14ac:dyDescent="0.25">
      <c r="B18" s="16" t="s">
        <v>11</v>
      </c>
      <c r="C18" s="36"/>
      <c r="D18" s="47"/>
    </row>
    <row r="19" spans="2:4" ht="17.25" thickBot="1" x14ac:dyDescent="0.25">
      <c r="B19" s="7" t="s">
        <v>12</v>
      </c>
      <c r="C19" s="36">
        <v>0</v>
      </c>
      <c r="D19" s="47" t="s">
        <v>108</v>
      </c>
    </row>
    <row r="20" spans="2:4" ht="17.25" thickBot="1" x14ac:dyDescent="0.25">
      <c r="B20" s="7" t="s">
        <v>13</v>
      </c>
      <c r="C20" s="36">
        <v>0</v>
      </c>
      <c r="D20" s="47" t="s">
        <v>109</v>
      </c>
    </row>
    <row r="21" spans="2:4" ht="17.25" thickBot="1" x14ac:dyDescent="0.25">
      <c r="B21" s="7" t="s">
        <v>14</v>
      </c>
      <c r="C21" s="36">
        <v>0</v>
      </c>
      <c r="D21" s="47" t="s">
        <v>110</v>
      </c>
    </row>
    <row r="22" spans="2:4" ht="17.25" thickBot="1" x14ac:dyDescent="0.25">
      <c r="B22" s="7" t="s">
        <v>15</v>
      </c>
      <c r="C22" s="36">
        <v>0</v>
      </c>
      <c r="D22" s="47" t="s">
        <v>111</v>
      </c>
    </row>
    <row r="23" spans="2:4" ht="17.25" thickBot="1" x14ac:dyDescent="0.25">
      <c r="B23" s="7" t="s">
        <v>16</v>
      </c>
      <c r="C23" s="36">
        <v>-0.18166362259725957</v>
      </c>
      <c r="D23" s="47" t="s">
        <v>112</v>
      </c>
    </row>
    <row r="24" spans="2:4" ht="17.25" thickBot="1" x14ac:dyDescent="0.25">
      <c r="B24" s="7" t="s">
        <v>17</v>
      </c>
      <c r="C24" s="36">
        <v>0.10696918329808218</v>
      </c>
      <c r="D24" s="47" t="s">
        <v>113</v>
      </c>
    </row>
    <row r="25" spans="2:4" ht="17.25" thickBot="1" x14ac:dyDescent="0.25">
      <c r="B25" s="7" t="s">
        <v>18</v>
      </c>
      <c r="C25" s="36">
        <v>0</v>
      </c>
      <c r="D25" s="47" t="s">
        <v>114</v>
      </c>
    </row>
    <row r="26" spans="2:4" ht="17.25" thickBot="1" x14ac:dyDescent="0.25">
      <c r="B26" s="7" t="s">
        <v>19</v>
      </c>
      <c r="C26" s="36">
        <v>1.5313771582507134</v>
      </c>
      <c r="D26" s="47" t="s">
        <v>115</v>
      </c>
    </row>
    <row r="27" spans="2:4" ht="17.25" thickBot="1" x14ac:dyDescent="0.25">
      <c r="B27" s="7"/>
      <c r="C27" s="50"/>
      <c r="D27" s="48"/>
    </row>
    <row r="28" spans="2:4" ht="17.25" thickBot="1" x14ac:dyDescent="0.25">
      <c r="B28" s="16" t="s">
        <v>20</v>
      </c>
      <c r="C28" s="50"/>
      <c r="D28" s="47"/>
    </row>
    <row r="29" spans="2:4" ht="17.25" thickBot="1" x14ac:dyDescent="0.25">
      <c r="B29" s="7" t="s">
        <v>21</v>
      </c>
      <c r="C29" s="50"/>
      <c r="D29" s="47" t="s">
        <v>116</v>
      </c>
    </row>
    <row r="30" spans="2:4" ht="17.25" thickBot="1" x14ac:dyDescent="0.25">
      <c r="B30" s="7" t="s">
        <v>22</v>
      </c>
      <c r="C30" s="50"/>
      <c r="D30" s="47" t="s">
        <v>117</v>
      </c>
    </row>
    <row r="31" spans="2:4" ht="17.25" thickBot="1" x14ac:dyDescent="0.25">
      <c r="B31" s="7"/>
      <c r="C31" s="50"/>
      <c r="D31" s="48"/>
    </row>
    <row r="32" spans="2:4" ht="17.25" thickBot="1" x14ac:dyDescent="0.25">
      <c r="B32" s="16" t="s">
        <v>54</v>
      </c>
      <c r="C32" s="36">
        <f>C6+C7+C10+C11+C14+C15+C16+C19+C20+C21+C22+C23+C24+C25+C26+C29+C30</f>
        <v>85.268764445951533</v>
      </c>
      <c r="D32" s="47" t="s">
        <v>118</v>
      </c>
    </row>
    <row r="33" spans="2:4" ht="17.25" thickBot="1" x14ac:dyDescent="0.25">
      <c r="B33" s="17"/>
      <c r="C33" s="50"/>
      <c r="D33" s="47"/>
    </row>
    <row r="34" spans="2:4" ht="17.25" thickBot="1" x14ac:dyDescent="0.25">
      <c r="B34" s="16" t="s">
        <v>23</v>
      </c>
      <c r="C34" s="50"/>
      <c r="D34" s="47"/>
    </row>
    <row r="35" spans="2:4" ht="39" thickBot="1" x14ac:dyDescent="0.25">
      <c r="B35" s="7" t="s">
        <v>61</v>
      </c>
      <c r="C35" s="32">
        <f>(C14+C19+C20+C21+C22+C23+C24+C25+C26+C30)/(137476392/10000)</f>
        <v>1.0595875391838449E-4</v>
      </c>
      <c r="D35" s="47" t="s">
        <v>119</v>
      </c>
    </row>
    <row r="36" spans="2:4" ht="39" thickBot="1" x14ac:dyDescent="0.25">
      <c r="B36" s="7" t="s">
        <v>55</v>
      </c>
      <c r="C36" s="27">
        <f>C32/C38</f>
        <v>1.534502255686693E-3</v>
      </c>
      <c r="D36" s="47" t="s">
        <v>120</v>
      </c>
    </row>
    <row r="37" spans="2:4" ht="17.25" thickBot="1" x14ac:dyDescent="0.25">
      <c r="B37" s="7"/>
      <c r="C37" s="10"/>
      <c r="D37" s="47"/>
    </row>
    <row r="38" spans="2:4" ht="17.25" thickBot="1" x14ac:dyDescent="0.25">
      <c r="B38" s="7" t="s">
        <v>24</v>
      </c>
      <c r="C38" s="36">
        <v>55567.702250000002</v>
      </c>
      <c r="D38" s="47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opLeftCell="A21" workbookViewId="0">
      <selection activeCell="D35" sqref="D35:D36"/>
    </sheetView>
  </sheetViews>
  <sheetFormatPr defaultRowHeight="15" x14ac:dyDescent="0.25"/>
  <cols>
    <col min="2" max="2" width="45.25" style="18" customWidth="1"/>
    <col min="3" max="3" width="27.625" style="9" customWidth="1"/>
  </cols>
  <sheetData>
    <row r="1" spans="2:4" ht="16.5" x14ac:dyDescent="0.25">
      <c r="B1" s="20" t="s">
        <v>136</v>
      </c>
      <c r="C1" s="9" t="s">
        <v>137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40"/>
      <c r="D5" s="46"/>
    </row>
    <row r="6" spans="2:4" ht="17.25" thickBot="1" x14ac:dyDescent="0.25">
      <c r="B6" s="39" t="s">
        <v>2</v>
      </c>
      <c r="C6" s="36">
        <v>1.0974398140000001</v>
      </c>
      <c r="D6" s="47" t="s">
        <v>101</v>
      </c>
    </row>
    <row r="7" spans="2:4" ht="17.25" thickBot="1" x14ac:dyDescent="0.25">
      <c r="B7" s="7" t="s">
        <v>3</v>
      </c>
      <c r="C7" s="36">
        <v>15.023144231</v>
      </c>
      <c r="D7" s="47" t="s">
        <v>102</v>
      </c>
    </row>
    <row r="8" spans="2:4" ht="17.25" thickBot="1" x14ac:dyDescent="0.25">
      <c r="B8" s="7"/>
      <c r="C8" s="50"/>
      <c r="D8" s="47"/>
    </row>
    <row r="9" spans="2:4" ht="17.25" thickBot="1" x14ac:dyDescent="0.25">
      <c r="B9" s="16" t="s">
        <v>4</v>
      </c>
      <c r="C9" s="50"/>
      <c r="D9" s="47"/>
    </row>
    <row r="10" spans="2:4" ht="17.25" thickBot="1" x14ac:dyDescent="0.25">
      <c r="B10" s="7" t="s">
        <v>5</v>
      </c>
      <c r="C10" s="36">
        <v>0</v>
      </c>
      <c r="D10" s="47" t="s">
        <v>103</v>
      </c>
    </row>
    <row r="11" spans="2:4" ht="17.25" thickBot="1" x14ac:dyDescent="0.25">
      <c r="B11" s="7" t="s">
        <v>6</v>
      </c>
      <c r="C11" s="36">
        <v>1.2225899999999994</v>
      </c>
      <c r="D11" s="47" t="s">
        <v>104</v>
      </c>
    </row>
    <row r="12" spans="2:4" ht="17.25" thickBot="1" x14ac:dyDescent="0.25">
      <c r="B12" s="7"/>
      <c r="C12" s="10"/>
      <c r="D12" s="48"/>
    </row>
    <row r="13" spans="2:4" ht="17.25" thickBot="1" x14ac:dyDescent="0.25">
      <c r="B13" s="16" t="s">
        <v>7</v>
      </c>
      <c r="C13" s="10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10"/>
      <c r="D17" s="47"/>
    </row>
    <row r="18" spans="2:4" ht="17.25" thickBot="1" x14ac:dyDescent="0.25">
      <c r="B18" s="16" t="s">
        <v>11</v>
      </c>
      <c r="C18" s="10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21">
        <v>0</v>
      </c>
      <c r="D23" s="47" t="s">
        <v>112</v>
      </c>
    </row>
    <row r="24" spans="2:4" ht="17.25" thickBot="1" x14ac:dyDescent="0.25">
      <c r="B24" s="7" t="s">
        <v>17</v>
      </c>
      <c r="C24" s="21">
        <v>0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17.343174045000001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6.25" thickBot="1" x14ac:dyDescent="0.25">
      <c r="B35" s="7" t="s">
        <v>61</v>
      </c>
      <c r="C35" s="60">
        <f>(C14+C19+C20+C21+C22+C23+C24+C25+C26+C30)/(37827639/1000)</f>
        <v>0</v>
      </c>
      <c r="D35" s="55" t="s">
        <v>119</v>
      </c>
    </row>
    <row r="36" spans="2:4" ht="14.25" customHeight="1" thickBot="1" x14ac:dyDescent="0.25">
      <c r="B36" s="5"/>
      <c r="C36" s="61"/>
      <c r="D36" s="56"/>
    </row>
    <row r="37" spans="2:4" ht="26.25" thickBot="1" x14ac:dyDescent="0.25">
      <c r="B37" s="7" t="s">
        <v>55</v>
      </c>
      <c r="C37" s="27">
        <f>C32/C39</f>
        <v>5.6836741505066058E-4</v>
      </c>
      <c r="D37" s="47" t="s">
        <v>120</v>
      </c>
    </row>
    <row r="38" spans="2:4" ht="15" customHeight="1" thickBot="1" x14ac:dyDescent="0.25">
      <c r="B38" s="7"/>
      <c r="C38" s="10"/>
      <c r="D38" s="47"/>
    </row>
    <row r="39" spans="2:4" ht="15" customHeight="1" thickBot="1" x14ac:dyDescent="0.25">
      <c r="B39" s="7" t="s">
        <v>24</v>
      </c>
      <c r="C39" s="36">
        <v>30514.018899999999</v>
      </c>
      <c r="D39" s="47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2" workbookViewId="0">
      <selection activeCell="D35" sqref="D35:D37"/>
    </sheetView>
  </sheetViews>
  <sheetFormatPr defaultRowHeight="15" x14ac:dyDescent="0.25"/>
  <cols>
    <col min="2" max="2" width="36.125" style="18" customWidth="1"/>
    <col min="3" max="3" width="37.625" style="9" customWidth="1"/>
  </cols>
  <sheetData>
    <row r="1" spans="2:4" ht="16.5" x14ac:dyDescent="0.25">
      <c r="B1" s="20" t="s">
        <v>80</v>
      </c>
      <c r="C1" s="9" t="s">
        <v>126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23.398155725000002</v>
      </c>
      <c r="D6" s="47" t="s">
        <v>101</v>
      </c>
    </row>
    <row r="7" spans="2:4" ht="17.25" thickBot="1" x14ac:dyDescent="0.25">
      <c r="B7" s="7" t="s">
        <v>3</v>
      </c>
      <c r="C7" s="36">
        <v>147.91641257450001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36">
        <v>21.497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26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26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21">
        <v>0</v>
      </c>
      <c r="D23" s="47" t="s">
        <v>112</v>
      </c>
    </row>
    <row r="24" spans="2:4" ht="17.25" thickBot="1" x14ac:dyDescent="0.25">
      <c r="B24" s="7" t="s">
        <v>17</v>
      </c>
      <c r="C24" s="21">
        <v>0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36">
        <v>0.79006160821220051</v>
      </c>
      <c r="D26" s="47" t="s">
        <v>115</v>
      </c>
    </row>
    <row r="27" spans="2:4" ht="17.25" thickBot="1" x14ac:dyDescent="0.25">
      <c r="B27" s="7"/>
      <c r="C27" s="26"/>
      <c r="D27" s="48"/>
    </row>
    <row r="28" spans="2:4" ht="17.25" thickBot="1" x14ac:dyDescent="0.25">
      <c r="B28" s="16" t="s">
        <v>20</v>
      </c>
      <c r="C28" s="26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26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193.60162990771224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39" thickBot="1" x14ac:dyDescent="0.25">
      <c r="B35" s="7" t="s">
        <v>61</v>
      </c>
      <c r="C35" s="60">
        <f>(C14+C19+C20+C21+C22+C23+C24+C25+C26+C30)/(1248098357/1000)</f>
        <v>6.3301229729300929E-7</v>
      </c>
      <c r="D35" s="55" t="s">
        <v>119</v>
      </c>
    </row>
    <row r="36" spans="2:4" ht="14.25" customHeight="1" x14ac:dyDescent="0.2">
      <c r="B36" s="5"/>
      <c r="C36" s="63"/>
      <c r="D36" s="64"/>
    </row>
    <row r="37" spans="2:4" ht="15" customHeight="1" thickBot="1" x14ac:dyDescent="0.25">
      <c r="B37" s="7"/>
      <c r="C37" s="61"/>
      <c r="D37" s="56"/>
    </row>
    <row r="38" spans="2:4" ht="39" thickBot="1" x14ac:dyDescent="0.25">
      <c r="B38" s="7" t="s">
        <v>55</v>
      </c>
      <c r="C38" s="27">
        <f>C32/C40</f>
        <v>1.3862410194389853E-4</v>
      </c>
      <c r="D38" s="47" t="s">
        <v>120</v>
      </c>
    </row>
    <row r="39" spans="2:4" ht="15" customHeight="1" thickBot="1" x14ac:dyDescent="0.25">
      <c r="B39" s="7"/>
      <c r="C39" s="10"/>
      <c r="D39" s="47"/>
    </row>
    <row r="40" spans="2:4" ht="15" customHeight="1" thickBot="1" x14ac:dyDescent="0.25">
      <c r="B40" s="7" t="s">
        <v>24</v>
      </c>
      <c r="C40" s="21">
        <v>1396594.2948800002</v>
      </c>
      <c r="D40" s="47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rightToLeft="1" topLeftCell="A20" workbookViewId="0">
      <selection activeCell="D35" sqref="D35:D37"/>
    </sheetView>
  </sheetViews>
  <sheetFormatPr defaultRowHeight="15" x14ac:dyDescent="0.25"/>
  <cols>
    <col min="2" max="2" width="44.75" style="18" customWidth="1"/>
    <col min="3" max="3" width="27.5" style="9" customWidth="1"/>
  </cols>
  <sheetData>
    <row r="1" spans="2:4" ht="16.5" x14ac:dyDescent="0.25">
      <c r="B1" s="20" t="s">
        <v>79</v>
      </c>
      <c r="C1" s="9" t="s">
        <v>129</v>
      </c>
    </row>
    <row r="2" spans="2:4" x14ac:dyDescent="0.25">
      <c r="B2" s="19"/>
    </row>
    <row r="3" spans="2:4" ht="15.75" thickBot="1" x14ac:dyDescent="0.3">
      <c r="B3" s="1" t="s">
        <v>77</v>
      </c>
    </row>
    <row r="4" spans="2:4" thickBot="1" x14ac:dyDescent="0.25">
      <c r="B4" s="3"/>
      <c r="C4" s="2" t="s">
        <v>0</v>
      </c>
      <c r="D4" s="45" t="s">
        <v>100</v>
      </c>
    </row>
    <row r="5" spans="2:4" ht="17.25" thickBot="1" x14ac:dyDescent="0.25">
      <c r="B5" s="16" t="s">
        <v>1</v>
      </c>
      <c r="C5" s="10"/>
      <c r="D5" s="46"/>
    </row>
    <row r="6" spans="2:4" ht="17.25" thickBot="1" x14ac:dyDescent="0.25">
      <c r="B6" s="7" t="s">
        <v>2</v>
      </c>
      <c r="C6" s="36">
        <v>7.6721398379999979</v>
      </c>
      <c r="D6" s="47" t="s">
        <v>101</v>
      </c>
    </row>
    <row r="7" spans="2:4" ht="17.25" thickBot="1" x14ac:dyDescent="0.25">
      <c r="B7" s="7" t="s">
        <v>3</v>
      </c>
      <c r="C7" s="36">
        <v>30.757291904999999</v>
      </c>
      <c r="D7" s="47" t="s">
        <v>102</v>
      </c>
    </row>
    <row r="8" spans="2:4" ht="17.25" thickBot="1" x14ac:dyDescent="0.25">
      <c r="B8" s="7"/>
      <c r="C8" s="26"/>
      <c r="D8" s="47"/>
    </row>
    <row r="9" spans="2:4" ht="17.25" thickBot="1" x14ac:dyDescent="0.25">
      <c r="B9" s="16" t="s">
        <v>4</v>
      </c>
      <c r="C9" s="26"/>
      <c r="D9" s="47"/>
    </row>
    <row r="10" spans="2:4" ht="17.25" thickBot="1" x14ac:dyDescent="0.25">
      <c r="B10" s="7" t="s">
        <v>5</v>
      </c>
      <c r="C10" s="21">
        <v>0</v>
      </c>
      <c r="D10" s="47" t="s">
        <v>103</v>
      </c>
    </row>
    <row r="11" spans="2:4" ht="17.25" thickBot="1" x14ac:dyDescent="0.25">
      <c r="B11" s="7" t="s">
        <v>6</v>
      </c>
      <c r="C11" s="36">
        <v>10.020280000000005</v>
      </c>
      <c r="D11" s="47" t="s">
        <v>104</v>
      </c>
    </row>
    <row r="12" spans="2:4" ht="17.25" thickBot="1" x14ac:dyDescent="0.25">
      <c r="B12" s="7"/>
      <c r="C12" s="26"/>
      <c r="D12" s="48"/>
    </row>
    <row r="13" spans="2:4" ht="17.25" thickBot="1" x14ac:dyDescent="0.25">
      <c r="B13" s="16" t="s">
        <v>7</v>
      </c>
      <c r="C13" s="26"/>
      <c r="D13" s="47"/>
    </row>
    <row r="14" spans="2:4" ht="26.25" thickBot="1" x14ac:dyDescent="0.25">
      <c r="B14" s="7" t="s">
        <v>8</v>
      </c>
      <c r="C14" s="21">
        <v>0</v>
      </c>
      <c r="D14" s="47" t="s">
        <v>105</v>
      </c>
    </row>
    <row r="15" spans="2:4" ht="17.25" thickBot="1" x14ac:dyDescent="0.25">
      <c r="B15" s="7" t="s">
        <v>9</v>
      </c>
      <c r="C15" s="21">
        <v>0</v>
      </c>
      <c r="D15" s="47" t="s">
        <v>106</v>
      </c>
    </row>
    <row r="16" spans="2:4" ht="17.25" thickBot="1" x14ac:dyDescent="0.25">
      <c r="B16" s="7" t="s">
        <v>10</v>
      </c>
      <c r="C16" s="21">
        <v>0</v>
      </c>
      <c r="D16" s="47" t="s">
        <v>107</v>
      </c>
    </row>
    <row r="17" spans="2:4" ht="17.25" thickBot="1" x14ac:dyDescent="0.25">
      <c r="B17" s="7"/>
      <c r="C17" s="26"/>
      <c r="D17" s="47"/>
    </row>
    <row r="18" spans="2:4" ht="17.25" thickBot="1" x14ac:dyDescent="0.25">
      <c r="B18" s="16" t="s">
        <v>11</v>
      </c>
      <c r="C18" s="26"/>
      <c r="D18" s="47"/>
    </row>
    <row r="19" spans="2:4" ht="17.25" thickBot="1" x14ac:dyDescent="0.25">
      <c r="B19" s="7" t="s">
        <v>12</v>
      </c>
      <c r="C19" s="21">
        <v>0</v>
      </c>
      <c r="D19" s="47" t="s">
        <v>108</v>
      </c>
    </row>
    <row r="20" spans="2:4" ht="17.25" thickBot="1" x14ac:dyDescent="0.25">
      <c r="B20" s="7" t="s">
        <v>13</v>
      </c>
      <c r="C20" s="21">
        <v>0</v>
      </c>
      <c r="D20" s="47" t="s">
        <v>109</v>
      </c>
    </row>
    <row r="21" spans="2:4" ht="17.25" thickBot="1" x14ac:dyDescent="0.25">
      <c r="B21" s="7" t="s">
        <v>14</v>
      </c>
      <c r="C21" s="21">
        <v>0</v>
      </c>
      <c r="D21" s="47" t="s">
        <v>110</v>
      </c>
    </row>
    <row r="22" spans="2:4" ht="17.25" thickBot="1" x14ac:dyDescent="0.25">
      <c r="B22" s="7" t="s">
        <v>15</v>
      </c>
      <c r="C22" s="21">
        <v>0</v>
      </c>
      <c r="D22" s="47" t="s">
        <v>111</v>
      </c>
    </row>
    <row r="23" spans="2:4" ht="17.25" thickBot="1" x14ac:dyDescent="0.25">
      <c r="B23" s="7" t="s">
        <v>16</v>
      </c>
      <c r="C23" s="36">
        <v>0</v>
      </c>
      <c r="D23" s="47" t="s">
        <v>112</v>
      </c>
    </row>
    <row r="24" spans="2:4" ht="17.25" thickBot="1" x14ac:dyDescent="0.25">
      <c r="B24" s="7" t="s">
        <v>17</v>
      </c>
      <c r="C24" s="36">
        <v>0</v>
      </c>
      <c r="D24" s="47" t="s">
        <v>113</v>
      </c>
    </row>
    <row r="25" spans="2:4" ht="17.25" thickBot="1" x14ac:dyDescent="0.25">
      <c r="B25" s="7" t="s">
        <v>18</v>
      </c>
      <c r="C25" s="21">
        <v>0</v>
      </c>
      <c r="D25" s="47" t="s">
        <v>114</v>
      </c>
    </row>
    <row r="26" spans="2:4" ht="17.25" thickBot="1" x14ac:dyDescent="0.25">
      <c r="B26" s="7" t="s">
        <v>19</v>
      </c>
      <c r="C26" s="21">
        <v>0</v>
      </c>
      <c r="D26" s="47" t="s">
        <v>115</v>
      </c>
    </row>
    <row r="27" spans="2:4" ht="17.25" thickBot="1" x14ac:dyDescent="0.25">
      <c r="B27" s="7"/>
      <c r="C27" s="10"/>
      <c r="D27" s="48"/>
    </row>
    <row r="28" spans="2:4" ht="17.25" thickBot="1" x14ac:dyDescent="0.25">
      <c r="B28" s="16" t="s">
        <v>20</v>
      </c>
      <c r="C28" s="10"/>
      <c r="D28" s="47"/>
    </row>
    <row r="29" spans="2:4" ht="17.25" thickBot="1" x14ac:dyDescent="0.25">
      <c r="B29" s="7" t="s">
        <v>21</v>
      </c>
      <c r="C29" s="21">
        <v>0</v>
      </c>
      <c r="D29" s="47" t="s">
        <v>116</v>
      </c>
    </row>
    <row r="30" spans="2:4" ht="17.25" thickBot="1" x14ac:dyDescent="0.25">
      <c r="B30" s="7" t="s">
        <v>22</v>
      </c>
      <c r="C30" s="21">
        <v>0</v>
      </c>
      <c r="D30" s="47" t="s">
        <v>117</v>
      </c>
    </row>
    <row r="31" spans="2:4" ht="17.25" thickBot="1" x14ac:dyDescent="0.25">
      <c r="B31" s="7"/>
      <c r="C31" s="10"/>
      <c r="D31" s="48"/>
    </row>
    <row r="32" spans="2:4" ht="17.25" thickBot="1" x14ac:dyDescent="0.25">
      <c r="B32" s="16" t="s">
        <v>54</v>
      </c>
      <c r="C32" s="21">
        <f>C6+C7+C10+C11+C14+C15+C16+C19+C20+C21+C22+C23+C24+C25+C26+C29+C30</f>
        <v>48.449711743000002</v>
      </c>
      <c r="D32" s="47" t="s">
        <v>118</v>
      </c>
    </row>
    <row r="33" spans="2:4" ht="17.25" thickBot="1" x14ac:dyDescent="0.25">
      <c r="B33" s="17"/>
      <c r="C33" s="10"/>
      <c r="D33" s="47"/>
    </row>
    <row r="34" spans="2:4" ht="17.25" thickBot="1" x14ac:dyDescent="0.25">
      <c r="B34" s="16" t="s">
        <v>23</v>
      </c>
      <c r="C34" s="10"/>
      <c r="D34" s="47"/>
    </row>
    <row r="35" spans="2:4" ht="26.25" thickBot="1" x14ac:dyDescent="0.25">
      <c r="B35" s="7" t="s">
        <v>61</v>
      </c>
      <c r="C35" s="60">
        <f>(C14+C19+C20+C21+C22+C23+C24+C25+C26+C30)/(267764510/1000)</f>
        <v>0</v>
      </c>
      <c r="D35" s="55" t="s">
        <v>119</v>
      </c>
    </row>
    <row r="36" spans="2:4" ht="14.25" customHeight="1" x14ac:dyDescent="0.2">
      <c r="B36" s="5"/>
      <c r="C36" s="63"/>
      <c r="D36" s="64"/>
    </row>
    <row r="37" spans="2:4" ht="15" customHeight="1" thickBot="1" x14ac:dyDescent="0.25">
      <c r="B37" s="7"/>
      <c r="C37" s="61"/>
      <c r="D37" s="56"/>
    </row>
    <row r="38" spans="2:4" ht="26.25" thickBot="1" x14ac:dyDescent="0.25">
      <c r="B38" s="7" t="s">
        <v>55</v>
      </c>
      <c r="C38" s="27">
        <f>C32/C40</f>
        <v>1.550492486545029E-4</v>
      </c>
      <c r="D38" s="47" t="s">
        <v>120</v>
      </c>
    </row>
    <row r="39" spans="2:4" ht="17.25" thickBot="1" x14ac:dyDescent="0.25">
      <c r="B39" s="7"/>
      <c r="C39" s="10"/>
      <c r="D39" s="47"/>
    </row>
    <row r="40" spans="2:4" ht="17.25" thickBot="1" x14ac:dyDescent="0.25">
      <c r="B40" s="7" t="s">
        <v>24</v>
      </c>
      <c r="C40" s="21">
        <v>312479.50030999997</v>
      </c>
      <c r="D40" s="47" t="s">
        <v>121</v>
      </c>
    </row>
    <row r="41" spans="2:4" x14ac:dyDescent="0.25">
      <c r="C4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נספח 1</vt:lpstr>
      <vt:lpstr>נספח 2</vt:lpstr>
      <vt:lpstr>נספח 3</vt:lpstr>
      <vt:lpstr> גמל לבני 50 ומטה</vt:lpstr>
      <vt:lpstr>גמל לבני 50 עד 60</vt:lpstr>
      <vt:lpstr>גמל לבני 60 ומעלה</vt:lpstr>
      <vt:lpstr>גמל שקלי טווח קצר</vt:lpstr>
      <vt:lpstr>גמל אג"ח ללא מניות</vt:lpstr>
      <vt:lpstr>גמל אג"ח צמוד מדד </vt:lpstr>
      <vt:lpstr>גמל פאסיבי- מדדי אג"ח</vt:lpstr>
      <vt:lpstr> גמל אג"ח עד 15% מניות</vt:lpstr>
      <vt:lpstr> גמל אג"ח עד 20% מניות</vt:lpstr>
      <vt:lpstr> גמל אג"ח עד 25% מניות</vt:lpstr>
      <vt:lpstr>גמל פאסיבי- מדדי אג"ח עד 25% </vt:lpstr>
      <vt:lpstr>גמל פאסיבי מדדי חול</vt:lpstr>
      <vt:lpstr>גמל פאסיבי- מדדי מניות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2017-08-09T08:22:19Z</dcterms:modified>
</cp:coreProperties>
</file>